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6165" yWindow="240" windowWidth="6330" windowHeight="7410" tabRatio="807"/>
  </bookViews>
  <sheets>
    <sheet name="ATT H-2A" sheetId="48" r:id="rId1"/>
    <sheet name="1 - ADIT" sheetId="69" r:id="rId2"/>
    <sheet name="2 - Other Tax" sheetId="70" r:id="rId3"/>
    <sheet name="3 - Revenue Credits" sheetId="71" r:id="rId4"/>
    <sheet name="4 - 100 Basis Pt ROE" sheetId="54" r:id="rId5"/>
    <sheet name="Exh E - Cap Add Worksheet" sheetId="55" state="hidden" r:id="rId6"/>
    <sheet name="Exh F - AA-BL Items" sheetId="64" state="hidden" r:id="rId7"/>
    <sheet name="5 - Cost Support" sheetId="65" r:id="rId8"/>
    <sheet name="5a - Affiliate Allocations" sheetId="73" r:id="rId9"/>
    <sheet name="6- Est &amp; True-up WS" sheetId="68" r:id="rId10"/>
    <sheet name="7 - Cap Add WS" sheetId="72" r:id="rId11"/>
    <sheet name="8 - Securitization" sheetId="53" r:id="rId12"/>
    <sheet name="9- Depr Rates" sheetId="74" r:id="rId13"/>
  </sheets>
  <definedNames>
    <definedName name="f1_respondent_id">#REF!</definedName>
    <definedName name="_xlnm.Print_Area" localSheetId="1">'1 - ADIT'!$A$1:$H$169</definedName>
    <definedName name="_xlnm.Print_Area" localSheetId="2">'2 - Other Tax'!$A$1:$H$71</definedName>
    <definedName name="_xlnm.Print_Area" localSheetId="7">'5 - Cost Support'!$A$1:$Q$249</definedName>
    <definedName name="_xlnm.Print_Area" localSheetId="12">'9- Depr Rates'!$A$1:$E$48</definedName>
    <definedName name="_xlnm.Print_Area" localSheetId="0">'ATT H-2A'!$A$1:$H$333</definedName>
    <definedName name="_xlnm.Print_Area" localSheetId="6">'Exh F - AA-BL Items'!$A$4:$Q$424</definedName>
    <definedName name="_xlnm.Print_Titles" localSheetId="7">'5 - Cost Support'!$1:$3</definedName>
    <definedName name="_xlnm.Print_Titles" localSheetId="10">'7 - Cap Add WS'!$A:$B</definedName>
    <definedName name="_xlnm.Print_Titles" localSheetId="0">'ATT H-2A'!$A:$G</definedName>
    <definedName name="_xlnm.Print_Titles" localSheetId="5">'Exh E - Cap Add Worksheet'!$A:$B</definedName>
    <definedName name="solver_adj" localSheetId="0" hidden="1">'ATT H-2A'!#REF!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'ATT H-2A'!#REF!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s>
  <calcPr calcId="145621"/>
</workbook>
</file>

<file path=xl/calcChain.xml><?xml version="1.0" encoding="utf-8"?>
<calcChain xmlns="http://schemas.openxmlformats.org/spreadsheetml/2006/main">
  <c r="H150" i="48" l="1"/>
  <c r="H83" i="48"/>
  <c r="H145" i="68" l="1"/>
  <c r="H284" i="48" l="1"/>
  <c r="CV147" i="72" l="1"/>
  <c r="CW147" i="72" s="1"/>
  <c r="CU147" i="72"/>
  <c r="CU148" i="72" s="1"/>
  <c r="CV145" i="72"/>
  <c r="CW145" i="72" s="1"/>
  <c r="CU145" i="72"/>
  <c r="CU146" i="72" s="1"/>
  <c r="CV143" i="72"/>
  <c r="CW143" i="72" s="1"/>
  <c r="CU143" i="72"/>
  <c r="CU144" i="72" s="1"/>
  <c r="CV141" i="72"/>
  <c r="CW141" i="72" s="1"/>
  <c r="CU141" i="72"/>
  <c r="CU142" i="72" s="1"/>
  <c r="CV139" i="72"/>
  <c r="CV140" i="72" s="1"/>
  <c r="CU139" i="72"/>
  <c r="CW139" i="72" s="1"/>
  <c r="CV137" i="72"/>
  <c r="CW137" i="72" s="1"/>
  <c r="CU137" i="72"/>
  <c r="CU138" i="72" s="1"/>
  <c r="CV135" i="72"/>
  <c r="CW135" i="72" s="1"/>
  <c r="CU135" i="72"/>
  <c r="CU136" i="72" s="1"/>
  <c r="CV133" i="72"/>
  <c r="CW133" i="72" s="1"/>
  <c r="CU133" i="72"/>
  <c r="CU134" i="72" s="1"/>
  <c r="CU59" i="72"/>
  <c r="CU60" i="72" s="1"/>
  <c r="CR59" i="72"/>
  <c r="CR147" i="72"/>
  <c r="CR145" i="72"/>
  <c r="CR143" i="72"/>
  <c r="CR141" i="72"/>
  <c r="CR139" i="72"/>
  <c r="CR140" i="72" s="1"/>
  <c r="CR137" i="72"/>
  <c r="CR135" i="72"/>
  <c r="CR133" i="72"/>
  <c r="CS59" i="72"/>
  <c r="CQ59" i="72"/>
  <c r="CQ60" i="72" s="1"/>
  <c r="CK139" i="72"/>
  <c r="CJ139" i="72"/>
  <c r="CJ140" i="72" s="1"/>
  <c r="CI139" i="72"/>
  <c r="CI140" i="72" s="1"/>
  <c r="CK140" i="72" s="1"/>
  <c r="CJ137" i="72"/>
  <c r="CK137" i="72" s="1"/>
  <c r="CI137" i="72"/>
  <c r="CI138" i="72" s="1"/>
  <c r="CK135" i="72"/>
  <c r="CJ135" i="72"/>
  <c r="CJ136" i="72" s="1"/>
  <c r="CI135" i="72"/>
  <c r="CI136" i="72" s="1"/>
  <c r="CK136" i="72" s="1"/>
  <c r="CJ133" i="72"/>
  <c r="CK133" i="72" s="1"/>
  <c r="CI133" i="72"/>
  <c r="CI134" i="72" s="1"/>
  <c r="CG137" i="72"/>
  <c r="CF137" i="72"/>
  <c r="CF138" i="72" s="1"/>
  <c r="CE137" i="72"/>
  <c r="CE138" i="72" s="1"/>
  <c r="CG135" i="72"/>
  <c r="CF135" i="72"/>
  <c r="CF136" i="72" s="1"/>
  <c r="CE135" i="72"/>
  <c r="CE136" i="72" s="1"/>
  <c r="CG136" i="72" s="1"/>
  <c r="CF133" i="72"/>
  <c r="CG133" i="72" s="1"/>
  <c r="CE133" i="72"/>
  <c r="CE134" i="72" s="1"/>
  <c r="CB137" i="72"/>
  <c r="CC137" i="72" s="1"/>
  <c r="CA137" i="72"/>
  <c r="CA138" i="72" s="1"/>
  <c r="CB135" i="72"/>
  <c r="CC135" i="72" s="1"/>
  <c r="CA135" i="72"/>
  <c r="CA136" i="72" s="1"/>
  <c r="CB133" i="72"/>
  <c r="CC133" i="72" s="1"/>
  <c r="CA133" i="72"/>
  <c r="CA134" i="72" s="1"/>
  <c r="BX137" i="72"/>
  <c r="BY137" i="72" s="1"/>
  <c r="BW137" i="72"/>
  <c r="BW138" i="72" s="1"/>
  <c r="BX135" i="72"/>
  <c r="BY135" i="72" s="1"/>
  <c r="BW135" i="72"/>
  <c r="BW136" i="72" s="1"/>
  <c r="BX133" i="72"/>
  <c r="BY133" i="72" s="1"/>
  <c r="BW133" i="72"/>
  <c r="BW134" i="72" s="1"/>
  <c r="BT135" i="72"/>
  <c r="BU135" i="72" s="1"/>
  <c r="BS135" i="72"/>
  <c r="BS136" i="72" s="1"/>
  <c r="BT133" i="72"/>
  <c r="BU133" i="72" s="1"/>
  <c r="BS133" i="72"/>
  <c r="BS134" i="72" s="1"/>
  <c r="AR135" i="72"/>
  <c r="AS135" i="72" s="1"/>
  <c r="AQ135" i="72"/>
  <c r="AQ136" i="72" s="1"/>
  <c r="AS133" i="72"/>
  <c r="AR133" i="72"/>
  <c r="AR134" i="72" s="1"/>
  <c r="AQ133" i="72"/>
  <c r="AQ134" i="72" s="1"/>
  <c r="AS134" i="72" s="1"/>
  <c r="AN135" i="72"/>
  <c r="AO135" i="72" s="1"/>
  <c r="AM135" i="72"/>
  <c r="AM136" i="72" s="1"/>
  <c r="AN133" i="72"/>
  <c r="AO133" i="72" s="1"/>
  <c r="AM133" i="72"/>
  <c r="AM134" i="72" s="1"/>
  <c r="AJ135" i="72"/>
  <c r="AK135" i="72" s="1"/>
  <c r="AI135" i="72"/>
  <c r="AI136" i="72" s="1"/>
  <c r="AJ133" i="72"/>
  <c r="AK133" i="72" s="1"/>
  <c r="AI133" i="72"/>
  <c r="AI134" i="72" s="1"/>
  <c r="AF133" i="72"/>
  <c r="AG133" i="72" s="1"/>
  <c r="AE133" i="72"/>
  <c r="AE134" i="72" s="1"/>
  <c r="AB133" i="72"/>
  <c r="AC133" i="72" s="1"/>
  <c r="AA133" i="72"/>
  <c r="AA134" i="72" s="1"/>
  <c r="X133" i="72"/>
  <c r="Y133" i="72" s="1"/>
  <c r="W133" i="72"/>
  <c r="W134" i="72" s="1"/>
  <c r="P133" i="72"/>
  <c r="P134" i="72" s="1"/>
  <c r="O133" i="72"/>
  <c r="Q133" i="72" s="1"/>
  <c r="CN147" i="72"/>
  <c r="CO147" i="72" s="1"/>
  <c r="CM147" i="72"/>
  <c r="CM148" i="72" s="1"/>
  <c r="CN145" i="72"/>
  <c r="CO145" i="72" s="1"/>
  <c r="CM145" i="72"/>
  <c r="CM146" i="72" s="1"/>
  <c r="CN143" i="72"/>
  <c r="CO143" i="72" s="1"/>
  <c r="CM143" i="72"/>
  <c r="CM144" i="72" s="1"/>
  <c r="CN141" i="72"/>
  <c r="CN142" i="72" s="1"/>
  <c r="CN139" i="72"/>
  <c r="CN137" i="72"/>
  <c r="CN135" i="72"/>
  <c r="CN133" i="72"/>
  <c r="CQ30" i="72"/>
  <c r="CN59" i="72"/>
  <c r="CN60" i="72" s="1"/>
  <c r="CM59" i="72"/>
  <c r="CM30" i="72"/>
  <c r="CV148" i="72" l="1"/>
  <c r="CW148" i="72" s="1"/>
  <c r="CV146" i="72"/>
  <c r="CW146" i="72" s="1"/>
  <c r="CV144" i="72"/>
  <c r="CW144" i="72" s="1"/>
  <c r="CV142" i="72"/>
  <c r="CW142" i="72" s="1"/>
  <c r="CU140" i="72"/>
  <c r="CW140" i="72" s="1"/>
  <c r="CV138" i="72"/>
  <c r="CW138" i="72" s="1"/>
  <c r="CV136" i="72"/>
  <c r="CW136" i="72" s="1"/>
  <c r="CV134" i="72"/>
  <c r="CW134" i="72" s="1"/>
  <c r="CR148" i="72"/>
  <c r="CR146" i="72"/>
  <c r="CR144" i="72"/>
  <c r="CR142" i="72"/>
  <c r="CR138" i="72"/>
  <c r="CR136" i="72"/>
  <c r="CR134" i="72"/>
  <c r="CR60" i="72"/>
  <c r="CS60" i="72" s="1"/>
  <c r="CJ138" i="72"/>
  <c r="CK138" i="72" s="1"/>
  <c r="CJ134" i="72"/>
  <c r="CK134" i="72" s="1"/>
  <c r="CG138" i="72"/>
  <c r="CF134" i="72"/>
  <c r="CG134" i="72" s="1"/>
  <c r="CB138" i="72"/>
  <c r="CC138" i="72" s="1"/>
  <c r="CB136" i="72"/>
  <c r="CC136" i="72" s="1"/>
  <c r="CB134" i="72"/>
  <c r="CC134" i="72" s="1"/>
  <c r="BX138" i="72"/>
  <c r="BY138" i="72" s="1"/>
  <c r="BX136" i="72"/>
  <c r="BY136" i="72" s="1"/>
  <c r="BX134" i="72"/>
  <c r="BY134" i="72" s="1"/>
  <c r="BT136" i="72"/>
  <c r="BU136" i="72" s="1"/>
  <c r="BT134" i="72"/>
  <c r="BU134" i="72" s="1"/>
  <c r="AR136" i="72"/>
  <c r="AS136" i="72" s="1"/>
  <c r="AN136" i="72"/>
  <c r="AO136" i="72" s="1"/>
  <c r="AN134" i="72"/>
  <c r="AO134" i="72" s="1"/>
  <c r="AJ136" i="72"/>
  <c r="AK136" i="72" s="1"/>
  <c r="AJ134" i="72"/>
  <c r="AK134" i="72" s="1"/>
  <c r="AF134" i="72"/>
  <c r="AG134" i="72" s="1"/>
  <c r="AB134" i="72"/>
  <c r="AC134" i="72" s="1"/>
  <c r="X134" i="72"/>
  <c r="Y134" i="72" s="1"/>
  <c r="O134" i="72"/>
  <c r="Q134" i="72" s="1"/>
  <c r="CN148" i="72"/>
  <c r="CO148" i="72" s="1"/>
  <c r="CN146" i="72"/>
  <c r="CO146" i="72" s="1"/>
  <c r="CN144" i="72"/>
  <c r="CO144" i="72" s="1"/>
  <c r="CN140" i="72"/>
  <c r="CN138" i="72"/>
  <c r="CN136" i="72"/>
  <c r="CN134" i="72"/>
  <c r="CU31" i="72"/>
  <c r="CV23" i="72"/>
  <c r="CW23" i="72" s="1"/>
  <c r="CX23" i="72" s="1"/>
  <c r="CQ31" i="72"/>
  <c r="CR131" i="72" s="1"/>
  <c r="CR132" i="72" s="1"/>
  <c r="CR23" i="72"/>
  <c r="CS23" i="72" s="1"/>
  <c r="CT23" i="72" s="1"/>
  <c r="CM31" i="72"/>
  <c r="CN131" i="72" s="1"/>
  <c r="CN132" i="72" s="1"/>
  <c r="CN23" i="72"/>
  <c r="CO23" i="72" s="1"/>
  <c r="CP23" i="72" s="1"/>
  <c r="CV131" i="72" l="1"/>
  <c r="CV132" i="72" s="1"/>
  <c r="CV59" i="72"/>
  <c r="CR63" i="72"/>
  <c r="CR64" i="72" s="1"/>
  <c r="CR79" i="72"/>
  <c r="CR80" i="72" s="1"/>
  <c r="CR95" i="72"/>
  <c r="CR96" i="72" s="1"/>
  <c r="CR111" i="72"/>
  <c r="CR112" i="72" s="1"/>
  <c r="CR127" i="72"/>
  <c r="CR128" i="72" s="1"/>
  <c r="CR67" i="72"/>
  <c r="CR68" i="72" s="1"/>
  <c r="CR83" i="72"/>
  <c r="CR84" i="72" s="1"/>
  <c r="CR99" i="72"/>
  <c r="CR100" i="72" s="1"/>
  <c r="CR115" i="72"/>
  <c r="CR116" i="72" s="1"/>
  <c r="CR71" i="72"/>
  <c r="CR72" i="72" s="1"/>
  <c r="CR87" i="72"/>
  <c r="CR88" i="72" s="1"/>
  <c r="CR103" i="72"/>
  <c r="CR104" i="72" s="1"/>
  <c r="CR119" i="72"/>
  <c r="CR120" i="72" s="1"/>
  <c r="CR75" i="72"/>
  <c r="CR76" i="72" s="1"/>
  <c r="CR91" i="72"/>
  <c r="CR92" i="72" s="1"/>
  <c r="CR107" i="72"/>
  <c r="CR108" i="72" s="1"/>
  <c r="CR123" i="72"/>
  <c r="CR124" i="72" s="1"/>
  <c r="CN119" i="72"/>
  <c r="CN120" i="72" s="1"/>
  <c r="CN71" i="72"/>
  <c r="CN72" i="72" s="1"/>
  <c r="CN87" i="72"/>
  <c r="CN88" i="72" s="1"/>
  <c r="CN103" i="72"/>
  <c r="CN104" i="72" s="1"/>
  <c r="CN75" i="72"/>
  <c r="CN76" i="72" s="1"/>
  <c r="CN91" i="72"/>
  <c r="CN92" i="72" s="1"/>
  <c r="CN107" i="72"/>
  <c r="CN108" i="72" s="1"/>
  <c r="CN123" i="72"/>
  <c r="CN124" i="72" s="1"/>
  <c r="CN63" i="72"/>
  <c r="CN64" i="72" s="1"/>
  <c r="CN79" i="72"/>
  <c r="CN80" i="72" s="1"/>
  <c r="CN95" i="72"/>
  <c r="CN96" i="72" s="1"/>
  <c r="CN111" i="72"/>
  <c r="CN112" i="72" s="1"/>
  <c r="CN127" i="72"/>
  <c r="CN128" i="72" s="1"/>
  <c r="CN67" i="72"/>
  <c r="CN68" i="72" s="1"/>
  <c r="CN83" i="72"/>
  <c r="CN84" i="72" s="1"/>
  <c r="CN99" i="72"/>
  <c r="CN100" i="72" s="1"/>
  <c r="CN115" i="72"/>
  <c r="CN116" i="72" s="1"/>
  <c r="CV61" i="72"/>
  <c r="CV62" i="72" s="1"/>
  <c r="CV63" i="72"/>
  <c r="CV64" i="72" s="1"/>
  <c r="CV65" i="72"/>
  <c r="CV66" i="72" s="1"/>
  <c r="CV67" i="72"/>
  <c r="CV68" i="72" s="1"/>
  <c r="CV69" i="72"/>
  <c r="CV70" i="72" s="1"/>
  <c r="CV71" i="72"/>
  <c r="CV72" i="72" s="1"/>
  <c r="CV73" i="72"/>
  <c r="CV74" i="72" s="1"/>
  <c r="CV75" i="72"/>
  <c r="CV76" i="72" s="1"/>
  <c r="CV77" i="72"/>
  <c r="CV78" i="72" s="1"/>
  <c r="CV79" i="72"/>
  <c r="CV80" i="72" s="1"/>
  <c r="CV81" i="72"/>
  <c r="CV82" i="72" s="1"/>
  <c r="CV83" i="72"/>
  <c r="CV84" i="72" s="1"/>
  <c r="CV85" i="72"/>
  <c r="CV86" i="72" s="1"/>
  <c r="CV87" i="72"/>
  <c r="CV88" i="72" s="1"/>
  <c r="CV89" i="72"/>
  <c r="CV90" i="72" s="1"/>
  <c r="CV91" i="72"/>
  <c r="CV92" i="72" s="1"/>
  <c r="CV93" i="72"/>
  <c r="CV94" i="72" s="1"/>
  <c r="CV95" i="72"/>
  <c r="CV96" i="72" s="1"/>
  <c r="CV97" i="72"/>
  <c r="CV98" i="72" s="1"/>
  <c r="CV99" i="72"/>
  <c r="CV100" i="72" s="1"/>
  <c r="CV101" i="72"/>
  <c r="CV102" i="72" s="1"/>
  <c r="CV103" i="72"/>
  <c r="CV104" i="72" s="1"/>
  <c r="CV105" i="72"/>
  <c r="CV106" i="72" s="1"/>
  <c r="CV107" i="72"/>
  <c r="CV108" i="72" s="1"/>
  <c r="CV109" i="72"/>
  <c r="CV110" i="72" s="1"/>
  <c r="CV111" i="72"/>
  <c r="CV112" i="72" s="1"/>
  <c r="CV113" i="72"/>
  <c r="CV114" i="72" s="1"/>
  <c r="CV115" i="72"/>
  <c r="CV116" i="72" s="1"/>
  <c r="CV117" i="72"/>
  <c r="CV118" i="72" s="1"/>
  <c r="CV119" i="72"/>
  <c r="CV120" i="72" s="1"/>
  <c r="CV121" i="72"/>
  <c r="CV122" i="72" s="1"/>
  <c r="CV123" i="72"/>
  <c r="CV124" i="72" s="1"/>
  <c r="CV125" i="72"/>
  <c r="CV126" i="72" s="1"/>
  <c r="CV127" i="72"/>
  <c r="CV128" i="72" s="1"/>
  <c r="CV129" i="72"/>
  <c r="CV130" i="72" s="1"/>
  <c r="CR61" i="72"/>
  <c r="CR62" i="72" s="1"/>
  <c r="CR65" i="72"/>
  <c r="CR66" i="72" s="1"/>
  <c r="CR69" i="72"/>
  <c r="CR70" i="72" s="1"/>
  <c r="CR73" i="72"/>
  <c r="CR74" i="72" s="1"/>
  <c r="CR77" i="72"/>
  <c r="CR78" i="72" s="1"/>
  <c r="CR81" i="72"/>
  <c r="CR82" i="72" s="1"/>
  <c r="CR85" i="72"/>
  <c r="CR86" i="72" s="1"/>
  <c r="CR89" i="72"/>
  <c r="CR90" i="72" s="1"/>
  <c r="CR93" i="72"/>
  <c r="CR94" i="72" s="1"/>
  <c r="CR97" i="72"/>
  <c r="CR98" i="72" s="1"/>
  <c r="CR101" i="72"/>
  <c r="CR102" i="72" s="1"/>
  <c r="CR105" i="72"/>
  <c r="CR106" i="72" s="1"/>
  <c r="CR109" i="72"/>
  <c r="CR110" i="72" s="1"/>
  <c r="CR113" i="72"/>
  <c r="CR114" i="72" s="1"/>
  <c r="CR117" i="72"/>
  <c r="CR118" i="72" s="1"/>
  <c r="CR121" i="72"/>
  <c r="CR122" i="72" s="1"/>
  <c r="CR125" i="72"/>
  <c r="CR126" i="72" s="1"/>
  <c r="CR129" i="72"/>
  <c r="CR130" i="72" s="1"/>
  <c r="CN61" i="72"/>
  <c r="CN62" i="72" s="1"/>
  <c r="CN65" i="72"/>
  <c r="CN66" i="72" s="1"/>
  <c r="CN69" i="72"/>
  <c r="CN70" i="72" s="1"/>
  <c r="CN73" i="72"/>
  <c r="CN74" i="72" s="1"/>
  <c r="CN77" i="72"/>
  <c r="CN78" i="72" s="1"/>
  <c r="CN81" i="72"/>
  <c r="CN82" i="72" s="1"/>
  <c r="CN85" i="72"/>
  <c r="CN86" i="72" s="1"/>
  <c r="CN89" i="72"/>
  <c r="CN90" i="72" s="1"/>
  <c r="CN93" i="72"/>
  <c r="CN94" i="72" s="1"/>
  <c r="CN97" i="72"/>
  <c r="CN98" i="72" s="1"/>
  <c r="CN101" i="72"/>
  <c r="CN102" i="72" s="1"/>
  <c r="CN105" i="72"/>
  <c r="CN106" i="72" s="1"/>
  <c r="CN109" i="72"/>
  <c r="CN110" i="72" s="1"/>
  <c r="CN113" i="72"/>
  <c r="CN114" i="72" s="1"/>
  <c r="CN117" i="72"/>
  <c r="CN118" i="72" s="1"/>
  <c r="CN121" i="72"/>
  <c r="CN122" i="72" s="1"/>
  <c r="CN125" i="72"/>
  <c r="CN126" i="72" s="1"/>
  <c r="CN129" i="72"/>
  <c r="CN130" i="72" s="1"/>
  <c r="CW59" i="72" l="1"/>
  <c r="CV60" i="72"/>
  <c r="CW60" i="72" s="1"/>
  <c r="CQ61" i="72"/>
  <c r="CQ62" i="72" l="1"/>
  <c r="CS62" i="72" s="1"/>
  <c r="CS61" i="72"/>
  <c r="CM60" i="72"/>
  <c r="CO60" i="72" s="1"/>
  <c r="CO59" i="72"/>
  <c r="CQ63" i="72" l="1"/>
  <c r="CM61" i="72"/>
  <c r="CQ64" i="72" l="1"/>
  <c r="CS64" i="72" s="1"/>
  <c r="CS63" i="72"/>
  <c r="CM62" i="72"/>
  <c r="CO62" i="72" s="1"/>
  <c r="CO61" i="72"/>
  <c r="CQ65" i="72" l="1"/>
  <c r="CM63" i="72"/>
  <c r="CU61" i="72" l="1"/>
  <c r="CQ66" i="72"/>
  <c r="CS66" i="72" s="1"/>
  <c r="CS65" i="72"/>
  <c r="CM64" i="72"/>
  <c r="CO64" i="72" s="1"/>
  <c r="CO63" i="72"/>
  <c r="CW61" i="72" l="1"/>
  <c r="CU62" i="72"/>
  <c r="CW62" i="72" s="1"/>
  <c r="CQ67" i="72"/>
  <c r="CM65" i="72"/>
  <c r="CU63" i="72" l="1"/>
  <c r="CQ68" i="72"/>
  <c r="CS68" i="72" s="1"/>
  <c r="CS67" i="72"/>
  <c r="CM66" i="72"/>
  <c r="CO66" i="72" s="1"/>
  <c r="CO65" i="72"/>
  <c r="CW63" i="72" l="1"/>
  <c r="CU64" i="72"/>
  <c r="CW64" i="72" s="1"/>
  <c r="CQ69" i="72"/>
  <c r="CM67" i="72"/>
  <c r="CU65" i="72" l="1"/>
  <c r="CQ70" i="72"/>
  <c r="CS70" i="72" s="1"/>
  <c r="CS69" i="72"/>
  <c r="CM68" i="72"/>
  <c r="CO68" i="72" s="1"/>
  <c r="CO67" i="72"/>
  <c r="CW65" i="72" l="1"/>
  <c r="CU66" i="72"/>
  <c r="CW66" i="72" s="1"/>
  <c r="CQ71" i="72"/>
  <c r="CM69" i="72"/>
  <c r="CU67" i="72" l="1"/>
  <c r="CQ72" i="72"/>
  <c r="CS72" i="72" s="1"/>
  <c r="CS71" i="72"/>
  <c r="CM70" i="72"/>
  <c r="CO70" i="72" s="1"/>
  <c r="CO69" i="72"/>
  <c r="CW67" i="72" l="1"/>
  <c r="CU68" i="72"/>
  <c r="CW68" i="72" s="1"/>
  <c r="CQ73" i="72"/>
  <c r="CM71" i="72"/>
  <c r="CU69" i="72" l="1"/>
  <c r="CQ74" i="72"/>
  <c r="CS74" i="72" s="1"/>
  <c r="CS73" i="72"/>
  <c r="CM72" i="72"/>
  <c r="CO72" i="72" s="1"/>
  <c r="CO71" i="72"/>
  <c r="CW69" i="72" l="1"/>
  <c r="CU70" i="72"/>
  <c r="CW70" i="72" s="1"/>
  <c r="CQ75" i="72"/>
  <c r="CM73" i="72"/>
  <c r="CU71" i="72" l="1"/>
  <c r="CQ76" i="72"/>
  <c r="CS76" i="72" s="1"/>
  <c r="CS75" i="72"/>
  <c r="CM74" i="72"/>
  <c r="CO74" i="72" s="1"/>
  <c r="CO73" i="72"/>
  <c r="CW71" i="72" l="1"/>
  <c r="CU72" i="72"/>
  <c r="CW72" i="72" s="1"/>
  <c r="CQ77" i="72"/>
  <c r="CM75" i="72"/>
  <c r="CU73" i="72" l="1"/>
  <c r="CQ78" i="72"/>
  <c r="CS78" i="72" s="1"/>
  <c r="CS77" i="72"/>
  <c r="CM76" i="72"/>
  <c r="CO76" i="72" s="1"/>
  <c r="CO75" i="72"/>
  <c r="CW73" i="72" l="1"/>
  <c r="CU74" i="72"/>
  <c r="CW74" i="72" s="1"/>
  <c r="CQ79" i="72"/>
  <c r="CM77" i="72"/>
  <c r="CU75" i="72" l="1"/>
  <c r="CQ80" i="72"/>
  <c r="CS80" i="72" s="1"/>
  <c r="CS79" i="72"/>
  <c r="CM78" i="72"/>
  <c r="CO78" i="72" s="1"/>
  <c r="CO77" i="72"/>
  <c r="CW75" i="72" l="1"/>
  <c r="CU76" i="72"/>
  <c r="CW76" i="72" s="1"/>
  <c r="CQ81" i="72"/>
  <c r="CM79" i="72"/>
  <c r="CU77" i="72" l="1"/>
  <c r="CQ82" i="72"/>
  <c r="CS82" i="72" s="1"/>
  <c r="CS81" i="72"/>
  <c r="CM80" i="72"/>
  <c r="CO80" i="72" s="1"/>
  <c r="CO79" i="72"/>
  <c r="CW77" i="72" l="1"/>
  <c r="CU78" i="72"/>
  <c r="CW78" i="72" s="1"/>
  <c r="CQ83" i="72"/>
  <c r="CM81" i="72"/>
  <c r="CU79" i="72" l="1"/>
  <c r="CQ84" i="72"/>
  <c r="CS84" i="72" s="1"/>
  <c r="CS83" i="72"/>
  <c r="CM82" i="72"/>
  <c r="CO82" i="72" s="1"/>
  <c r="CO81" i="72"/>
  <c r="CW79" i="72" l="1"/>
  <c r="CU80" i="72"/>
  <c r="CW80" i="72" s="1"/>
  <c r="CQ85" i="72"/>
  <c r="CM83" i="72"/>
  <c r="CU81" i="72" l="1"/>
  <c r="CQ86" i="72"/>
  <c r="CS86" i="72" s="1"/>
  <c r="CS85" i="72"/>
  <c r="CM84" i="72"/>
  <c r="CO84" i="72" s="1"/>
  <c r="CO83" i="72"/>
  <c r="CW81" i="72" l="1"/>
  <c r="CU82" i="72"/>
  <c r="CW82" i="72" s="1"/>
  <c r="CQ87" i="72"/>
  <c r="CM85" i="72"/>
  <c r="CU83" i="72" l="1"/>
  <c r="CQ88" i="72"/>
  <c r="CS88" i="72" s="1"/>
  <c r="CS87" i="72"/>
  <c r="CM86" i="72"/>
  <c r="CO86" i="72" s="1"/>
  <c r="CO85" i="72"/>
  <c r="CW83" i="72" l="1"/>
  <c r="CU84" i="72"/>
  <c r="CW84" i="72" s="1"/>
  <c r="CQ89" i="72"/>
  <c r="CM87" i="72"/>
  <c r="CU85" i="72" l="1"/>
  <c r="CQ90" i="72"/>
  <c r="CS90" i="72" s="1"/>
  <c r="CS89" i="72"/>
  <c r="CM88" i="72"/>
  <c r="CO88" i="72" s="1"/>
  <c r="CO87" i="72"/>
  <c r="CW85" i="72" l="1"/>
  <c r="CU86" i="72"/>
  <c r="CW86" i="72" s="1"/>
  <c r="CQ91" i="72"/>
  <c r="CM89" i="72"/>
  <c r="CU87" i="72" l="1"/>
  <c r="CQ92" i="72"/>
  <c r="CS92" i="72" s="1"/>
  <c r="CS91" i="72"/>
  <c r="CM90" i="72"/>
  <c r="CO90" i="72" s="1"/>
  <c r="CO89" i="72"/>
  <c r="CW87" i="72" l="1"/>
  <c r="CU88" i="72"/>
  <c r="CW88" i="72" s="1"/>
  <c r="CQ93" i="72"/>
  <c r="CM91" i="72"/>
  <c r="CU89" i="72" l="1"/>
  <c r="CQ94" i="72"/>
  <c r="CS94" i="72" s="1"/>
  <c r="CS93" i="72"/>
  <c r="CM92" i="72"/>
  <c r="CO92" i="72" s="1"/>
  <c r="CO91" i="72"/>
  <c r="CW89" i="72" l="1"/>
  <c r="CU90" i="72"/>
  <c r="CW90" i="72" s="1"/>
  <c r="CQ95" i="72"/>
  <c r="CM93" i="72"/>
  <c r="CU91" i="72" l="1"/>
  <c r="CQ96" i="72"/>
  <c r="CS96" i="72" s="1"/>
  <c r="CS95" i="72"/>
  <c r="CM94" i="72"/>
  <c r="CO94" i="72" s="1"/>
  <c r="CO93" i="72"/>
  <c r="CW91" i="72" l="1"/>
  <c r="CU92" i="72"/>
  <c r="CW92" i="72" s="1"/>
  <c r="CQ97" i="72"/>
  <c r="CM95" i="72"/>
  <c r="CU93" i="72" l="1"/>
  <c r="CQ98" i="72"/>
  <c r="CS98" i="72" s="1"/>
  <c r="CS97" i="72"/>
  <c r="CM96" i="72"/>
  <c r="CO96" i="72" s="1"/>
  <c r="CO95" i="72"/>
  <c r="CW93" i="72" l="1"/>
  <c r="CU94" i="72"/>
  <c r="CW94" i="72" s="1"/>
  <c r="CQ99" i="72"/>
  <c r="CM97" i="72"/>
  <c r="CU95" i="72" l="1"/>
  <c r="CQ100" i="72"/>
  <c r="CS100" i="72" s="1"/>
  <c r="CS99" i="72"/>
  <c r="CM98" i="72"/>
  <c r="CO98" i="72" s="1"/>
  <c r="CO97" i="72"/>
  <c r="CW95" i="72" l="1"/>
  <c r="CU96" i="72"/>
  <c r="CW96" i="72" s="1"/>
  <c r="CQ101" i="72"/>
  <c r="CM99" i="72"/>
  <c r="CU97" i="72" l="1"/>
  <c r="CQ102" i="72"/>
  <c r="CS102" i="72" s="1"/>
  <c r="CS101" i="72"/>
  <c r="CM100" i="72"/>
  <c r="CO100" i="72" s="1"/>
  <c r="CO99" i="72"/>
  <c r="CW97" i="72" l="1"/>
  <c r="CU98" i="72"/>
  <c r="CW98" i="72" s="1"/>
  <c r="CQ103" i="72"/>
  <c r="CM101" i="72"/>
  <c r="CU99" i="72" l="1"/>
  <c r="CQ104" i="72"/>
  <c r="CS104" i="72" s="1"/>
  <c r="CS103" i="72"/>
  <c r="CM102" i="72"/>
  <c r="CO102" i="72" s="1"/>
  <c r="CO101" i="72"/>
  <c r="CW99" i="72" l="1"/>
  <c r="CU100" i="72"/>
  <c r="CW100" i="72" s="1"/>
  <c r="CQ105" i="72"/>
  <c r="CM103" i="72"/>
  <c r="CU101" i="72" l="1"/>
  <c r="CQ106" i="72"/>
  <c r="CS106" i="72" s="1"/>
  <c r="CS105" i="72"/>
  <c r="CM104" i="72"/>
  <c r="CO104" i="72" s="1"/>
  <c r="CO103" i="72"/>
  <c r="CW101" i="72" l="1"/>
  <c r="CU102" i="72"/>
  <c r="CW102" i="72" s="1"/>
  <c r="CQ107" i="72"/>
  <c r="CM105" i="72"/>
  <c r="CU103" i="72" l="1"/>
  <c r="CQ108" i="72"/>
  <c r="CS108" i="72" s="1"/>
  <c r="CS107" i="72"/>
  <c r="CM106" i="72"/>
  <c r="CO106" i="72" s="1"/>
  <c r="CO105" i="72"/>
  <c r="CW103" i="72" l="1"/>
  <c r="CU104" i="72"/>
  <c r="CW104" i="72" s="1"/>
  <c r="CQ109" i="72"/>
  <c r="CM107" i="72"/>
  <c r="CU105" i="72" l="1"/>
  <c r="CQ110" i="72"/>
  <c r="CS110" i="72" s="1"/>
  <c r="CS109" i="72"/>
  <c r="CM108" i="72"/>
  <c r="CO108" i="72" s="1"/>
  <c r="CO107" i="72"/>
  <c r="CW105" i="72" l="1"/>
  <c r="CU106" i="72"/>
  <c r="CW106" i="72" s="1"/>
  <c r="CQ111" i="72"/>
  <c r="CM109" i="72"/>
  <c r="CU107" i="72" l="1"/>
  <c r="CQ112" i="72"/>
  <c r="CS112" i="72" s="1"/>
  <c r="CS111" i="72"/>
  <c r="CM110" i="72"/>
  <c r="CO110" i="72" s="1"/>
  <c r="CO109" i="72"/>
  <c r="CW107" i="72" l="1"/>
  <c r="CU108" i="72"/>
  <c r="CW108" i="72" s="1"/>
  <c r="CQ113" i="72"/>
  <c r="CM111" i="72"/>
  <c r="CU109" i="72" l="1"/>
  <c r="CQ114" i="72"/>
  <c r="CS114" i="72" s="1"/>
  <c r="CS113" i="72"/>
  <c r="CM112" i="72"/>
  <c r="CO112" i="72" s="1"/>
  <c r="CO111" i="72"/>
  <c r="CW109" i="72" l="1"/>
  <c r="CU110" i="72"/>
  <c r="CW110" i="72" s="1"/>
  <c r="CQ115" i="72"/>
  <c r="CM113" i="72"/>
  <c r="CU111" i="72" l="1"/>
  <c r="CQ116" i="72"/>
  <c r="CS116" i="72" s="1"/>
  <c r="CS115" i="72"/>
  <c r="CM114" i="72"/>
  <c r="CO114" i="72" s="1"/>
  <c r="CO113" i="72"/>
  <c r="CW111" i="72" l="1"/>
  <c r="CU112" i="72"/>
  <c r="CW112" i="72" s="1"/>
  <c r="CQ117" i="72"/>
  <c r="CM115" i="72"/>
  <c r="CU113" i="72" l="1"/>
  <c r="CQ118" i="72"/>
  <c r="CS118" i="72" s="1"/>
  <c r="CS117" i="72"/>
  <c r="CM116" i="72"/>
  <c r="CO116" i="72" s="1"/>
  <c r="CO115" i="72"/>
  <c r="CW113" i="72" l="1"/>
  <c r="CU114" i="72"/>
  <c r="CW114" i="72" s="1"/>
  <c r="CQ119" i="72"/>
  <c r="CM117" i="72"/>
  <c r="CU115" i="72" l="1"/>
  <c r="CQ120" i="72"/>
  <c r="CS120" i="72" s="1"/>
  <c r="CS119" i="72"/>
  <c r="CM118" i="72"/>
  <c r="CO118" i="72" s="1"/>
  <c r="CO117" i="72"/>
  <c r="CW115" i="72" l="1"/>
  <c r="CU116" i="72"/>
  <c r="CW116" i="72" s="1"/>
  <c r="CQ121" i="72"/>
  <c r="CM119" i="72"/>
  <c r="CU117" i="72" l="1"/>
  <c r="CQ122" i="72"/>
  <c r="CS122" i="72" s="1"/>
  <c r="CS121" i="72"/>
  <c r="CM120" i="72"/>
  <c r="CO120" i="72" s="1"/>
  <c r="CO119" i="72"/>
  <c r="CW117" i="72" l="1"/>
  <c r="CU118" i="72"/>
  <c r="CW118" i="72" s="1"/>
  <c r="CQ123" i="72"/>
  <c r="CM121" i="72"/>
  <c r="CU119" i="72" l="1"/>
  <c r="CQ124" i="72"/>
  <c r="CS124" i="72" s="1"/>
  <c r="CS123" i="72"/>
  <c r="CM122" i="72"/>
  <c r="CO122" i="72" s="1"/>
  <c r="CO121" i="72"/>
  <c r="CW119" i="72" l="1"/>
  <c r="CU120" i="72"/>
  <c r="CW120" i="72" s="1"/>
  <c r="CQ125" i="72"/>
  <c r="CM123" i="72"/>
  <c r="CU121" i="72" l="1"/>
  <c r="CQ126" i="72"/>
  <c r="CS126" i="72" s="1"/>
  <c r="CS125" i="72"/>
  <c r="CM124" i="72"/>
  <c r="CO124" i="72" s="1"/>
  <c r="CO123" i="72"/>
  <c r="CW121" i="72" l="1"/>
  <c r="CU122" i="72"/>
  <c r="CW122" i="72" s="1"/>
  <c r="CQ127" i="72"/>
  <c r="CM125" i="72"/>
  <c r="CU123" i="72" l="1"/>
  <c r="CQ128" i="72"/>
  <c r="CS128" i="72" s="1"/>
  <c r="CS127" i="72"/>
  <c r="CM126" i="72"/>
  <c r="CO126" i="72" s="1"/>
  <c r="CO125" i="72"/>
  <c r="CW123" i="72" l="1"/>
  <c r="CU124" i="72"/>
  <c r="CW124" i="72" s="1"/>
  <c r="CQ129" i="72"/>
  <c r="CM127" i="72"/>
  <c r="CU125" i="72" l="1"/>
  <c r="CQ130" i="72"/>
  <c r="CS130" i="72" s="1"/>
  <c r="CS129" i="72"/>
  <c r="CM128" i="72"/>
  <c r="CO128" i="72" s="1"/>
  <c r="CO127" i="72"/>
  <c r="CW125" i="72" l="1"/>
  <c r="CU126" i="72"/>
  <c r="CW126" i="72" s="1"/>
  <c r="CQ131" i="72"/>
  <c r="CM129" i="72"/>
  <c r="CU127" i="72" l="1"/>
  <c r="CQ132" i="72"/>
  <c r="CS132" i="72" s="1"/>
  <c r="CQ133" i="72" s="1"/>
  <c r="CS131" i="72"/>
  <c r="CM130" i="72"/>
  <c r="CO130" i="72" s="1"/>
  <c r="CO129" i="72"/>
  <c r="CQ134" i="72" l="1"/>
  <c r="CS134" i="72" s="1"/>
  <c r="CS133" i="72"/>
  <c r="CW127" i="72"/>
  <c r="CU128" i="72"/>
  <c r="CW128" i="72" s="1"/>
  <c r="CM131" i="72"/>
  <c r="CQ135" i="72" l="1"/>
  <c r="CU129" i="72"/>
  <c r="CM132" i="72"/>
  <c r="CO132" i="72" s="1"/>
  <c r="CM133" i="72" s="1"/>
  <c r="CO131" i="72"/>
  <c r="CQ136" i="72" l="1"/>
  <c r="CS136" i="72" s="1"/>
  <c r="CS135" i="72"/>
  <c r="CM134" i="72"/>
  <c r="CO134" i="72" s="1"/>
  <c r="CO133" i="72"/>
  <c r="CW129" i="72"/>
  <c r="CU130" i="72"/>
  <c r="CW130" i="72" s="1"/>
  <c r="CQ137" i="72" l="1"/>
  <c r="CM135" i="72"/>
  <c r="CU131" i="72"/>
  <c r="CQ138" i="72" l="1"/>
  <c r="CS138" i="72" s="1"/>
  <c r="CS137" i="72"/>
  <c r="CM136" i="72"/>
  <c r="CO136" i="72" s="1"/>
  <c r="CO135" i="72"/>
  <c r="CW131" i="72"/>
  <c r="CU132" i="72"/>
  <c r="CW132" i="72" s="1"/>
  <c r="CQ139" i="72" l="1"/>
  <c r="CM137" i="72"/>
  <c r="H190" i="48"/>
  <c r="CS139" i="72" l="1"/>
  <c r="CQ140" i="72"/>
  <c r="CS140" i="72" s="1"/>
  <c r="CM138" i="72"/>
  <c r="CO138" i="72" s="1"/>
  <c r="CO137" i="72"/>
  <c r="H118" i="48"/>
  <c r="I68" i="65"/>
  <c r="D40" i="71"/>
  <c r="E29" i="70"/>
  <c r="I13" i="65"/>
  <c r="I17" i="65"/>
  <c r="G130" i="69"/>
  <c r="F130" i="69"/>
  <c r="D127" i="69"/>
  <c r="I37" i="65"/>
  <c r="D44" i="69"/>
  <c r="D38" i="69"/>
  <c r="D40" i="69"/>
  <c r="H160" i="65"/>
  <c r="G16" i="65"/>
  <c r="G62" i="68"/>
  <c r="H62" i="68"/>
  <c r="D130" i="69"/>
  <c r="D103" i="69"/>
  <c r="D125" i="69"/>
  <c r="D104" i="69"/>
  <c r="D109" i="69"/>
  <c r="G137" i="69"/>
  <c r="F137" i="69"/>
  <c r="D110" i="69"/>
  <c r="D123" i="69"/>
  <c r="D106" i="69"/>
  <c r="D105" i="69"/>
  <c r="D102" i="69"/>
  <c r="D101" i="69"/>
  <c r="D100" i="69"/>
  <c r="D120" i="69"/>
  <c r="D118" i="69"/>
  <c r="D114" i="69"/>
  <c r="D116" i="69"/>
  <c r="D115" i="69"/>
  <c r="D112" i="69"/>
  <c r="D111" i="69"/>
  <c r="D71" i="69"/>
  <c r="F71" i="69"/>
  <c r="D137" i="69"/>
  <c r="D47" i="69"/>
  <c r="D34" i="69"/>
  <c r="D39" i="69"/>
  <c r="D36" i="69"/>
  <c r="D37" i="69"/>
  <c r="D35" i="69"/>
  <c r="D46" i="69"/>
  <c r="D33" i="69"/>
  <c r="D32" i="69"/>
  <c r="D45" i="69"/>
  <c r="D31" i="69"/>
  <c r="ER59" i="72"/>
  <c r="ER31" i="72"/>
  <c r="ES79" i="72"/>
  <c r="ES80" i="72"/>
  <c r="ES59" i="72"/>
  <c r="ES60" i="72"/>
  <c r="ES61" i="72"/>
  <c r="ES62" i="72"/>
  <c r="ES63" i="72"/>
  <c r="ES64" i="72"/>
  <c r="ES65" i="72"/>
  <c r="ES66" i="72"/>
  <c r="ES67" i="72"/>
  <c r="ES68" i="72"/>
  <c r="ES69" i="72"/>
  <c r="ES70" i="72"/>
  <c r="ES71" i="72"/>
  <c r="ES72" i="72"/>
  <c r="ES73" i="72"/>
  <c r="ES74" i="72"/>
  <c r="ES75" i="72"/>
  <c r="ET59" i="72"/>
  <c r="ER60" i="72"/>
  <c r="ET60" i="72"/>
  <c r="ES76" i="72"/>
  <c r="ES78" i="72"/>
  <c r="ES77" i="72"/>
  <c r="ER61" i="72"/>
  <c r="ER62" i="72"/>
  <c r="ET62" i="72"/>
  <c r="ET61" i="72"/>
  <c r="ER63" i="72"/>
  <c r="ER64" i="72"/>
  <c r="ET64" i="72"/>
  <c r="ET63" i="72"/>
  <c r="ER65" i="72"/>
  <c r="ER66" i="72"/>
  <c r="ET66" i="72"/>
  <c r="ET65" i="72"/>
  <c r="ER67" i="72"/>
  <c r="ER68" i="72"/>
  <c r="ET68" i="72"/>
  <c r="ET67" i="72"/>
  <c r="ER69" i="72"/>
  <c r="ER70" i="72"/>
  <c r="ET70" i="72"/>
  <c r="ET69" i="72"/>
  <c r="ER71" i="72"/>
  <c r="ER72" i="72"/>
  <c r="ET72" i="72"/>
  <c r="ET71" i="72"/>
  <c r="ER73" i="72"/>
  <c r="ER74" i="72"/>
  <c r="ET74" i="72"/>
  <c r="ET73" i="72"/>
  <c r="ER75" i="72"/>
  <c r="ER76" i="72"/>
  <c r="ET76" i="72"/>
  <c r="ET75" i="72"/>
  <c r="ER77" i="72"/>
  <c r="ER78" i="72"/>
  <c r="ET78" i="72"/>
  <c r="ER79" i="72"/>
  <c r="ET77" i="72"/>
  <c r="ER80" i="72"/>
  <c r="ET80" i="72"/>
  <c r="ET79" i="72"/>
  <c r="E14" i="53"/>
  <c r="I42" i="65"/>
  <c r="I50" i="65"/>
  <c r="I34" i="65"/>
  <c r="I16" i="65"/>
  <c r="D7" i="71"/>
  <c r="D33" i="71"/>
  <c r="E53" i="70"/>
  <c r="E28" i="70"/>
  <c r="H176" i="48"/>
  <c r="H124" i="48"/>
  <c r="D160" i="65"/>
  <c r="E97" i="68"/>
  <c r="E103" i="68"/>
  <c r="D159" i="65"/>
  <c r="EN57" i="72"/>
  <c r="EN58" i="72"/>
  <c r="EN31" i="72"/>
  <c r="EO57" i="72"/>
  <c r="EO59" i="72"/>
  <c r="EO61" i="72"/>
  <c r="EO62" i="72"/>
  <c r="EO63" i="72"/>
  <c r="EJ57" i="72"/>
  <c r="EJ58" i="72"/>
  <c r="EJ31" i="72"/>
  <c r="EK57" i="72"/>
  <c r="EF57" i="72"/>
  <c r="EF58" i="72"/>
  <c r="EF31" i="72"/>
  <c r="EG57" i="72"/>
  <c r="EB57" i="72"/>
  <c r="EB58" i="72"/>
  <c r="EB31" i="72"/>
  <c r="EC57" i="72"/>
  <c r="G194" i="65"/>
  <c r="G191" i="65"/>
  <c r="DP55" i="72"/>
  <c r="DP56" i="72"/>
  <c r="DP31" i="72"/>
  <c r="DQ75" i="72"/>
  <c r="DQ76" i="72"/>
  <c r="DH55" i="72"/>
  <c r="DH56" i="72"/>
  <c r="DH31" i="72"/>
  <c r="DI55" i="72"/>
  <c r="DT57" i="72"/>
  <c r="H20" i="65"/>
  <c r="H59" i="48" s="1"/>
  <c r="DX57" i="72"/>
  <c r="DX58" i="72"/>
  <c r="I51" i="65"/>
  <c r="H51" i="65"/>
  <c r="H51" i="48" s="1"/>
  <c r="EW31" i="72"/>
  <c r="EW29" i="72"/>
  <c r="EW28" i="72"/>
  <c r="DX31" i="72"/>
  <c r="DY77" i="72"/>
  <c r="DT31" i="72"/>
  <c r="DU77" i="72"/>
  <c r="DU78" i="72"/>
  <c r="DL55" i="72"/>
  <c r="DL56" i="72"/>
  <c r="DL31" i="72"/>
  <c r="DM75" i="72"/>
  <c r="DM76" i="72"/>
  <c r="DD55" i="72"/>
  <c r="DD56" i="72"/>
  <c r="CI51" i="72"/>
  <c r="CE49" i="72"/>
  <c r="CE50" i="72"/>
  <c r="CA49" i="72"/>
  <c r="CA50" i="72"/>
  <c r="BW49" i="72"/>
  <c r="BW50" i="72"/>
  <c r="BS47" i="72"/>
  <c r="BS48" i="72"/>
  <c r="AM47" i="72"/>
  <c r="AM48" i="72"/>
  <c r="AI47" i="72"/>
  <c r="AI48" i="72"/>
  <c r="BO45" i="72"/>
  <c r="BO46" i="72"/>
  <c r="BK45" i="72"/>
  <c r="BK46" i="72"/>
  <c r="AA45" i="72"/>
  <c r="AA46" i="72"/>
  <c r="W45" i="72"/>
  <c r="W46" i="72"/>
  <c r="BG43" i="72"/>
  <c r="BG44" i="72"/>
  <c r="BC43" i="72"/>
  <c r="G43" i="72"/>
  <c r="C43" i="72"/>
  <c r="AY41" i="72"/>
  <c r="AY42" i="72"/>
  <c r="AU41" i="72"/>
  <c r="AU42" i="72"/>
  <c r="B40" i="72"/>
  <c r="B42" i="72"/>
  <c r="B44" i="72"/>
  <c r="B46" i="72"/>
  <c r="B48" i="72"/>
  <c r="B50" i="72"/>
  <c r="B52" i="72"/>
  <c r="B54" i="72"/>
  <c r="B56" i="72"/>
  <c r="B58" i="72"/>
  <c r="B60" i="72"/>
  <c r="B62" i="72"/>
  <c r="B64" i="72"/>
  <c r="B66" i="72"/>
  <c r="B68" i="72"/>
  <c r="B70" i="72"/>
  <c r="B72" i="72"/>
  <c r="B39" i="72"/>
  <c r="B41" i="72"/>
  <c r="B43" i="72"/>
  <c r="B45" i="72"/>
  <c r="B47" i="72"/>
  <c r="B49" i="72"/>
  <c r="B51" i="72"/>
  <c r="B53" i="72"/>
  <c r="B55" i="72"/>
  <c r="B57" i="72"/>
  <c r="B59" i="72"/>
  <c r="B61" i="72"/>
  <c r="B63" i="72"/>
  <c r="B65" i="72"/>
  <c r="B67" i="72"/>
  <c r="B69" i="72"/>
  <c r="B71" i="72"/>
  <c r="DD31" i="72"/>
  <c r="DE55" i="72"/>
  <c r="CI31" i="72"/>
  <c r="CE31" i="72"/>
  <c r="CF129" i="72"/>
  <c r="CF130" i="72"/>
  <c r="CA31" i="72"/>
  <c r="CB131" i="72"/>
  <c r="CB132" i="72"/>
  <c r="BW31" i="72"/>
  <c r="BX53" i="72"/>
  <c r="BX54" i="72"/>
  <c r="BS31" i="72"/>
  <c r="BT59" i="72"/>
  <c r="BT60" i="72"/>
  <c r="BO31" i="72"/>
  <c r="BP75" i="72"/>
  <c r="BP76" i="72"/>
  <c r="BK31" i="72"/>
  <c r="BL75" i="72"/>
  <c r="BL76" i="72"/>
  <c r="BG31" i="72"/>
  <c r="BH45" i="72"/>
  <c r="BH46" i="72"/>
  <c r="BC31" i="72"/>
  <c r="BD59" i="72"/>
  <c r="BD60" i="72"/>
  <c r="AY31" i="72"/>
  <c r="AZ45" i="72"/>
  <c r="AZ46" i="72"/>
  <c r="AU31" i="72"/>
  <c r="AV43" i="72"/>
  <c r="AV44" i="72"/>
  <c r="AM31" i="72"/>
  <c r="AN127" i="72"/>
  <c r="AN128" i="72"/>
  <c r="AI31" i="72"/>
  <c r="AA31" i="72"/>
  <c r="AB53" i="72"/>
  <c r="AB54" i="72"/>
  <c r="W31" i="72"/>
  <c r="X45" i="72"/>
  <c r="X46" i="72"/>
  <c r="G31" i="72"/>
  <c r="H45" i="72"/>
  <c r="H46" i="72"/>
  <c r="C31" i="72"/>
  <c r="D131" i="72"/>
  <c r="AQ30" i="72"/>
  <c r="AQ31" i="72"/>
  <c r="AE30" i="72"/>
  <c r="AE31" i="72"/>
  <c r="AF95" i="72"/>
  <c r="AF96" i="72"/>
  <c r="S30" i="72"/>
  <c r="S43" i="72"/>
  <c r="S44" i="72"/>
  <c r="O30" i="72"/>
  <c r="O45" i="72"/>
  <c r="O46" i="72"/>
  <c r="K30" i="72"/>
  <c r="K41" i="72"/>
  <c r="K42" i="72"/>
  <c r="BO29" i="72"/>
  <c r="BK29" i="72"/>
  <c r="BG29" i="72"/>
  <c r="BC29" i="72"/>
  <c r="AY29" i="72"/>
  <c r="AU29" i="72"/>
  <c r="BO28" i="72"/>
  <c r="BK28" i="72"/>
  <c r="BG28" i="72"/>
  <c r="BC28" i="72"/>
  <c r="AY28" i="72"/>
  <c r="AU28" i="72"/>
  <c r="CJ23" i="72"/>
  <c r="CK23" i="72"/>
  <c r="CL23" i="72"/>
  <c r="CF23" i="72"/>
  <c r="CG23" i="72"/>
  <c r="CH23" i="72"/>
  <c r="BX23" i="72"/>
  <c r="BY23" i="72"/>
  <c r="BZ23" i="72"/>
  <c r="BT23" i="72"/>
  <c r="BU23" i="72"/>
  <c r="BV23" i="72"/>
  <c r="BP23" i="72"/>
  <c r="BQ23" i="72"/>
  <c r="BR23" i="72"/>
  <c r="BL23" i="72"/>
  <c r="BM23" i="72"/>
  <c r="BN23" i="72"/>
  <c r="BH23" i="72"/>
  <c r="BI23" i="72"/>
  <c r="BJ23" i="72"/>
  <c r="BD23" i="72"/>
  <c r="BE23" i="72"/>
  <c r="BF23" i="72"/>
  <c r="AZ23" i="72"/>
  <c r="BA23" i="72"/>
  <c r="BB23" i="72"/>
  <c r="AV23" i="72"/>
  <c r="AW23" i="72"/>
  <c r="AX23" i="72"/>
  <c r="P23" i="72"/>
  <c r="Q23" i="72"/>
  <c r="R23" i="72"/>
  <c r="DY78" i="72"/>
  <c r="DU59" i="72"/>
  <c r="DU61" i="72"/>
  <c r="DU62" i="72"/>
  <c r="DU63" i="72"/>
  <c r="DU64" i="72"/>
  <c r="DM57" i="72"/>
  <c r="DM58" i="72"/>
  <c r="D132" i="72"/>
  <c r="D125" i="72"/>
  <c r="D126" i="72"/>
  <c r="D119" i="72"/>
  <c r="D120" i="72"/>
  <c r="D121" i="72"/>
  <c r="D122" i="72"/>
  <c r="D115" i="72"/>
  <c r="D116" i="72"/>
  <c r="D107" i="72"/>
  <c r="D108" i="72"/>
  <c r="D103" i="72"/>
  <c r="D104" i="72"/>
  <c r="D97" i="72"/>
  <c r="D98" i="72"/>
  <c r="D91" i="72"/>
  <c r="D92" i="72"/>
  <c r="D89" i="72"/>
  <c r="D90" i="72"/>
  <c r="D99" i="72"/>
  <c r="D100" i="72"/>
  <c r="D81" i="72"/>
  <c r="D82" i="72"/>
  <c r="D87" i="72"/>
  <c r="D88" i="72"/>
  <c r="D79" i="72"/>
  <c r="D80" i="72"/>
  <c r="D77" i="72"/>
  <c r="D78" i="72"/>
  <c r="D69" i="72"/>
  <c r="D70" i="72"/>
  <c r="D59" i="72"/>
  <c r="D60" i="72"/>
  <c r="D49" i="72"/>
  <c r="D50" i="72"/>
  <c r="D61" i="72"/>
  <c r="D62" i="72"/>
  <c r="D55" i="72"/>
  <c r="D56" i="72"/>
  <c r="D57" i="72"/>
  <c r="D58" i="72"/>
  <c r="D47" i="72"/>
  <c r="D48" i="72"/>
  <c r="BL73" i="72"/>
  <c r="BL74" i="72"/>
  <c r="O31" i="72"/>
  <c r="AZ59" i="72"/>
  <c r="AZ60" i="72"/>
  <c r="AZ49" i="72"/>
  <c r="AZ50" i="72"/>
  <c r="BP65" i="72"/>
  <c r="BP66" i="72"/>
  <c r="BP49" i="72"/>
  <c r="BP50" i="72"/>
  <c r="CF117" i="72"/>
  <c r="CF118" i="72"/>
  <c r="CF95" i="72"/>
  <c r="CF96" i="72"/>
  <c r="CF85" i="72"/>
  <c r="CF86" i="72"/>
  <c r="CF69" i="72"/>
  <c r="CF70" i="72"/>
  <c r="CF55" i="72"/>
  <c r="CF56" i="72"/>
  <c r="G44" i="72"/>
  <c r="AJ131" i="72"/>
  <c r="AJ132" i="72"/>
  <c r="AJ129" i="72"/>
  <c r="AJ130" i="72"/>
  <c r="AJ125" i="72"/>
  <c r="AJ126" i="72"/>
  <c r="AJ127" i="72"/>
  <c r="AJ128" i="72"/>
  <c r="AJ123" i="72"/>
  <c r="AJ124" i="72"/>
  <c r="AJ121" i="72"/>
  <c r="AJ122" i="72"/>
  <c r="AJ117" i="72"/>
  <c r="AJ118" i="72"/>
  <c r="AJ119" i="72"/>
  <c r="AJ120" i="72"/>
  <c r="AJ113" i="72"/>
  <c r="AJ114" i="72"/>
  <c r="AJ111" i="72"/>
  <c r="AJ112" i="72"/>
  <c r="AJ107" i="72"/>
  <c r="AJ108" i="72"/>
  <c r="AJ109" i="72"/>
  <c r="AJ110" i="72"/>
  <c r="AJ115" i="72"/>
  <c r="AJ116" i="72"/>
  <c r="AJ103" i="72"/>
  <c r="AJ104" i="72"/>
  <c r="AJ97" i="72"/>
  <c r="AJ98" i="72"/>
  <c r="AJ95" i="72"/>
  <c r="AJ96" i="72"/>
  <c r="AJ93" i="72"/>
  <c r="AJ94" i="72"/>
  <c r="AJ91" i="72"/>
  <c r="AJ92" i="72"/>
  <c r="AJ89" i="72"/>
  <c r="AJ90" i="72"/>
  <c r="AJ99" i="72"/>
  <c r="AJ100" i="72"/>
  <c r="AJ105" i="72"/>
  <c r="AJ106" i="72"/>
  <c r="AJ101" i="72"/>
  <c r="AJ102" i="72"/>
  <c r="AJ81" i="72"/>
  <c r="AJ82" i="72"/>
  <c r="AJ83" i="72"/>
  <c r="AJ84" i="72"/>
  <c r="AJ85" i="72"/>
  <c r="AJ86" i="72"/>
  <c r="AJ87" i="72"/>
  <c r="AJ88" i="72"/>
  <c r="AJ79" i="72"/>
  <c r="AJ80" i="72"/>
  <c r="AJ75" i="72"/>
  <c r="AJ76" i="72"/>
  <c r="AJ73" i="72"/>
  <c r="AJ74" i="72"/>
  <c r="AJ77" i="72"/>
  <c r="AJ78" i="72"/>
  <c r="AJ69" i="72"/>
  <c r="AJ70" i="72"/>
  <c r="AJ71" i="72"/>
  <c r="AJ72" i="72"/>
  <c r="AJ67" i="72"/>
  <c r="AJ68" i="72"/>
  <c r="AJ59" i="72"/>
  <c r="AJ60" i="72"/>
  <c r="AJ65" i="72"/>
  <c r="AJ66" i="72"/>
  <c r="AJ51" i="72"/>
  <c r="AJ52" i="72"/>
  <c r="AJ61" i="72"/>
  <c r="AJ62" i="72"/>
  <c r="AJ55" i="72"/>
  <c r="AJ56" i="72"/>
  <c r="AJ63" i="72"/>
  <c r="AJ64" i="72"/>
  <c r="AJ57" i="72"/>
  <c r="AJ58" i="72"/>
  <c r="AJ53" i="72"/>
  <c r="AJ54" i="72"/>
  <c r="AJ47" i="72"/>
  <c r="AJ49" i="72"/>
  <c r="AJ50" i="72"/>
  <c r="C44" i="72"/>
  <c r="BC44" i="72"/>
  <c r="D45" i="72"/>
  <c r="D46" i="72"/>
  <c r="CB119" i="72"/>
  <c r="CB120" i="72"/>
  <c r="CB89" i="72"/>
  <c r="CB90" i="72"/>
  <c r="CB83" i="72"/>
  <c r="CB84" i="72"/>
  <c r="CB67" i="72"/>
  <c r="CB68" i="72"/>
  <c r="CB59" i="72"/>
  <c r="CB60" i="72"/>
  <c r="AV55" i="72"/>
  <c r="AV56" i="72"/>
  <c r="AV41" i="72"/>
  <c r="AV42" i="72"/>
  <c r="AW42" i="72"/>
  <c r="D43" i="72"/>
  <c r="H125" i="72"/>
  <c r="H126" i="72"/>
  <c r="H119" i="72"/>
  <c r="H120" i="72"/>
  <c r="H115" i="72"/>
  <c r="H116" i="72"/>
  <c r="H95" i="72"/>
  <c r="H96" i="72"/>
  <c r="H103" i="72"/>
  <c r="H104" i="72"/>
  <c r="H87" i="72"/>
  <c r="H88" i="72"/>
  <c r="H85" i="72"/>
  <c r="H86" i="72"/>
  <c r="H67" i="72"/>
  <c r="H68" i="72"/>
  <c r="AN131" i="72"/>
  <c r="AN132" i="72"/>
  <c r="AN129" i="72"/>
  <c r="AN130" i="72"/>
  <c r="AN111" i="72"/>
  <c r="AN112" i="72"/>
  <c r="AN101" i="72"/>
  <c r="AN102" i="72"/>
  <c r="AN91" i="72"/>
  <c r="AN92" i="72"/>
  <c r="AN103" i="72"/>
  <c r="AN104" i="72"/>
  <c r="AN81" i="72"/>
  <c r="AN82" i="72"/>
  <c r="AN75" i="72"/>
  <c r="AN76" i="72"/>
  <c r="AN71" i="72"/>
  <c r="AN72" i="72"/>
  <c r="CJ127" i="72"/>
  <c r="CJ128" i="72"/>
  <c r="CJ131" i="72"/>
  <c r="CJ132" i="72"/>
  <c r="CJ129" i="72"/>
  <c r="CJ130" i="72"/>
  <c r="CJ125" i="72"/>
  <c r="CJ126" i="72"/>
  <c r="CJ123" i="72"/>
  <c r="CJ124" i="72"/>
  <c r="CJ117" i="72"/>
  <c r="CJ118" i="72"/>
  <c r="CJ121" i="72"/>
  <c r="CJ122" i="72"/>
  <c r="CJ119" i="72"/>
  <c r="CJ120" i="72"/>
  <c r="CJ115" i="72"/>
  <c r="CJ116" i="72"/>
  <c r="CJ111" i="72"/>
  <c r="CJ112" i="72"/>
  <c r="CJ107" i="72"/>
  <c r="CJ108" i="72"/>
  <c r="CJ113" i="72"/>
  <c r="CJ114" i="72"/>
  <c r="CJ109" i="72"/>
  <c r="CJ110" i="72"/>
  <c r="CJ105" i="72"/>
  <c r="CJ106" i="72"/>
  <c r="CJ97" i="72"/>
  <c r="CJ98" i="72"/>
  <c r="CJ95" i="72"/>
  <c r="CJ96" i="72"/>
  <c r="CJ93" i="72"/>
  <c r="CJ94" i="72"/>
  <c r="CJ91" i="72"/>
  <c r="CJ92" i="72"/>
  <c r="CJ89" i="72"/>
  <c r="CJ90" i="72"/>
  <c r="CJ87" i="72"/>
  <c r="CJ88" i="72"/>
  <c r="CJ103" i="72"/>
  <c r="CJ104" i="72"/>
  <c r="CJ99" i="72"/>
  <c r="CJ100" i="72"/>
  <c r="CJ101" i="72"/>
  <c r="CJ102" i="72"/>
  <c r="CJ83" i="72"/>
  <c r="CJ84" i="72"/>
  <c r="CJ85" i="72"/>
  <c r="CJ86" i="72"/>
  <c r="CJ77" i="72"/>
  <c r="CJ78" i="72"/>
  <c r="CJ81" i="72"/>
  <c r="CJ82" i="72"/>
  <c r="CJ75" i="72"/>
  <c r="CJ76" i="72"/>
  <c r="CJ73" i="72"/>
  <c r="CJ74" i="72"/>
  <c r="CJ67" i="72"/>
  <c r="CJ68" i="72"/>
  <c r="CJ63" i="72"/>
  <c r="CJ64" i="72"/>
  <c r="CJ79" i="72"/>
  <c r="CJ80" i="72"/>
  <c r="CJ69" i="72"/>
  <c r="CJ70" i="72"/>
  <c r="CJ71" i="72"/>
  <c r="CJ72" i="72"/>
  <c r="CJ65" i="72"/>
  <c r="CJ66" i="72"/>
  <c r="BD49" i="72"/>
  <c r="BD50" i="72"/>
  <c r="BT49" i="72"/>
  <c r="BT50" i="72"/>
  <c r="AB131" i="72"/>
  <c r="AB132" i="72"/>
  <c r="AB129" i="72"/>
  <c r="AB130" i="72"/>
  <c r="AB127" i="72"/>
  <c r="AB128" i="72"/>
  <c r="AB125" i="72"/>
  <c r="AB126" i="72"/>
  <c r="AB123" i="72"/>
  <c r="AB124" i="72"/>
  <c r="AB119" i="72"/>
  <c r="AB120" i="72"/>
  <c r="AB121" i="72"/>
  <c r="AB122" i="72"/>
  <c r="AB117" i="72"/>
  <c r="AB118" i="72"/>
  <c r="AB109" i="72"/>
  <c r="AB110" i="72"/>
  <c r="AB115" i="72"/>
  <c r="AB116" i="72"/>
  <c r="AB111" i="72"/>
  <c r="AB112" i="72"/>
  <c r="AB113" i="72"/>
  <c r="AB114" i="72"/>
  <c r="AB107" i="72"/>
  <c r="AB108" i="72"/>
  <c r="AB99" i="72"/>
  <c r="AB100" i="72"/>
  <c r="AB97" i="72"/>
  <c r="AB98" i="72"/>
  <c r="AB95" i="72"/>
  <c r="AB96" i="72"/>
  <c r="AB93" i="72"/>
  <c r="AB94" i="72"/>
  <c r="AB91" i="72"/>
  <c r="AB92" i="72"/>
  <c r="AB89" i="72"/>
  <c r="AB90" i="72"/>
  <c r="AB103" i="72"/>
  <c r="AB104" i="72"/>
  <c r="AB105" i="72"/>
  <c r="AB106" i="72"/>
  <c r="AB101" i="72"/>
  <c r="AB102" i="72"/>
  <c r="AB85" i="72"/>
  <c r="AB86" i="72"/>
  <c r="AB77" i="72"/>
  <c r="AB78" i="72"/>
  <c r="AB87" i="72"/>
  <c r="AB88" i="72"/>
  <c r="AB79" i="72"/>
  <c r="AB80" i="72"/>
  <c r="AB81" i="72"/>
  <c r="AB82" i="72"/>
  <c r="AB83" i="72"/>
  <c r="AB84" i="72"/>
  <c r="AB75" i="72"/>
  <c r="AB76" i="72"/>
  <c r="AB73" i="72"/>
  <c r="AB74" i="72"/>
  <c r="AB71" i="72"/>
  <c r="AB72" i="72"/>
  <c r="AB65" i="72"/>
  <c r="AB66" i="72"/>
  <c r="AB67" i="72"/>
  <c r="AB68" i="72"/>
  <c r="AB69" i="72"/>
  <c r="AB70" i="72"/>
  <c r="BH75" i="72"/>
  <c r="BH76" i="72"/>
  <c r="BH67" i="72"/>
  <c r="BH68" i="72"/>
  <c r="BX127" i="72"/>
  <c r="BX128" i="72"/>
  <c r="BX117" i="72"/>
  <c r="BX118" i="72"/>
  <c r="BX107" i="72"/>
  <c r="BX108" i="72"/>
  <c r="BX97" i="72"/>
  <c r="BX98" i="72"/>
  <c r="BX89" i="72"/>
  <c r="BX90" i="72"/>
  <c r="BX101" i="72"/>
  <c r="BX102" i="72"/>
  <c r="BX79" i="72"/>
  <c r="BX80" i="72"/>
  <c r="BX71" i="72"/>
  <c r="BX72" i="72"/>
  <c r="DE75" i="72"/>
  <c r="DE76" i="72"/>
  <c r="AB47" i="72"/>
  <c r="AB48" i="72"/>
  <c r="BD47" i="72"/>
  <c r="BD48" i="72"/>
  <c r="BT47" i="72"/>
  <c r="BT48" i="72"/>
  <c r="BU48" i="72"/>
  <c r="BS49" i="72"/>
  <c r="CI52" i="72"/>
  <c r="AN55" i="72"/>
  <c r="AN56" i="72"/>
  <c r="BD55" i="72"/>
  <c r="BD56" i="72"/>
  <c r="BT55" i="72"/>
  <c r="BT56" i="72"/>
  <c r="CJ55" i="72"/>
  <c r="CJ56" i="72"/>
  <c r="DE57" i="72"/>
  <c r="DE58" i="72"/>
  <c r="BD61" i="72"/>
  <c r="BD62" i="72"/>
  <c r="BT61" i="72"/>
  <c r="BT62" i="72"/>
  <c r="CJ61" i="72"/>
  <c r="CJ62" i="72"/>
  <c r="AB59" i="72"/>
  <c r="AB60" i="72"/>
  <c r="H51" i="72"/>
  <c r="H52" i="72"/>
  <c r="X51" i="72"/>
  <c r="X52" i="72"/>
  <c r="BD51" i="72"/>
  <c r="BD52" i="72"/>
  <c r="BT51" i="72"/>
  <c r="BT52" i="72"/>
  <c r="CJ51" i="72"/>
  <c r="AB57" i="72"/>
  <c r="AB58" i="72"/>
  <c r="BX57" i="72"/>
  <c r="BX58" i="72"/>
  <c r="CJ59" i="72"/>
  <c r="CJ60" i="72"/>
  <c r="DE59" i="72"/>
  <c r="DE60" i="72"/>
  <c r="AB63" i="72"/>
  <c r="AB64" i="72"/>
  <c r="X125" i="72"/>
  <c r="X126" i="72"/>
  <c r="X119" i="72"/>
  <c r="X120" i="72"/>
  <c r="X115" i="72"/>
  <c r="X116" i="72"/>
  <c r="X93" i="72"/>
  <c r="X94" i="72"/>
  <c r="X105" i="72"/>
  <c r="X106" i="72"/>
  <c r="X79" i="72"/>
  <c r="X80" i="72"/>
  <c r="X77" i="72"/>
  <c r="X78" i="72"/>
  <c r="X69" i="72"/>
  <c r="X70" i="72"/>
  <c r="BD75" i="72"/>
  <c r="BD76" i="72"/>
  <c r="BD73" i="72"/>
  <c r="BD74" i="72"/>
  <c r="BD67" i="72"/>
  <c r="BD68" i="72"/>
  <c r="BD69" i="72"/>
  <c r="BD70" i="72"/>
  <c r="BD71" i="72"/>
  <c r="BD72" i="72"/>
  <c r="BD65" i="72"/>
  <c r="BD66" i="72"/>
  <c r="BT131" i="72"/>
  <c r="BT132" i="72"/>
  <c r="BT129" i="72"/>
  <c r="BT130" i="72"/>
  <c r="BT127" i="72"/>
  <c r="BT128" i="72"/>
  <c r="BT125" i="72"/>
  <c r="BT126" i="72"/>
  <c r="BT117" i="72"/>
  <c r="BT118" i="72"/>
  <c r="BT119" i="72"/>
  <c r="BT120" i="72"/>
  <c r="BT121" i="72"/>
  <c r="BT122" i="72"/>
  <c r="BT123" i="72"/>
  <c r="BT124" i="72"/>
  <c r="BT115" i="72"/>
  <c r="BT116" i="72"/>
  <c r="BT107" i="72"/>
  <c r="BT108" i="72"/>
  <c r="BT111" i="72"/>
  <c r="BT112" i="72"/>
  <c r="BT113" i="72"/>
  <c r="BT114" i="72"/>
  <c r="BT109" i="72"/>
  <c r="BT110" i="72"/>
  <c r="BT105" i="72"/>
  <c r="BT106" i="72"/>
  <c r="BT97" i="72"/>
  <c r="BT98" i="72"/>
  <c r="BT95" i="72"/>
  <c r="BT96" i="72"/>
  <c r="BT93" i="72"/>
  <c r="BT94" i="72"/>
  <c r="BT91" i="72"/>
  <c r="BT92" i="72"/>
  <c r="BT89" i="72"/>
  <c r="BT90" i="72"/>
  <c r="BT87" i="72"/>
  <c r="BT88" i="72"/>
  <c r="BT101" i="72"/>
  <c r="BT102" i="72"/>
  <c r="BT103" i="72"/>
  <c r="BT104" i="72"/>
  <c r="BT99" i="72"/>
  <c r="BT100" i="72"/>
  <c r="BT83" i="72"/>
  <c r="BT84" i="72"/>
  <c r="BT85" i="72"/>
  <c r="BT86" i="72"/>
  <c r="BT77" i="72"/>
  <c r="BT78" i="72"/>
  <c r="BT81" i="72"/>
  <c r="BT82" i="72"/>
  <c r="BT75" i="72"/>
  <c r="BT76" i="72"/>
  <c r="BT73" i="72"/>
  <c r="BT74" i="72"/>
  <c r="BT79" i="72"/>
  <c r="BT80" i="72"/>
  <c r="BT67" i="72"/>
  <c r="BT68" i="72"/>
  <c r="BT69" i="72"/>
  <c r="BT70" i="72"/>
  <c r="BT71" i="72"/>
  <c r="BT72" i="72"/>
  <c r="BT65" i="72"/>
  <c r="BT66" i="72"/>
  <c r="BD53" i="72"/>
  <c r="BD54" i="72"/>
  <c r="BT53" i="72"/>
  <c r="BT54" i="72"/>
  <c r="CJ53" i="72"/>
  <c r="CJ54" i="72"/>
  <c r="AB55" i="72"/>
  <c r="AB56" i="72"/>
  <c r="BX55" i="72"/>
  <c r="BX56" i="72"/>
  <c r="X57" i="72"/>
  <c r="X58" i="72"/>
  <c r="BD57" i="72"/>
  <c r="BD58" i="72"/>
  <c r="BT57" i="72"/>
  <c r="BT58" i="72"/>
  <c r="CJ57" i="72"/>
  <c r="CJ58" i="72"/>
  <c r="AB61" i="72"/>
  <c r="AB62" i="72"/>
  <c r="BH61" i="72"/>
  <c r="BH62" i="72"/>
  <c r="AN63" i="72"/>
  <c r="AN64" i="72"/>
  <c r="BD63" i="72"/>
  <c r="BD64" i="72"/>
  <c r="BT63" i="72"/>
  <c r="BT64" i="72"/>
  <c r="AW41" i="72"/>
  <c r="AX41" i="72"/>
  <c r="AJ48" i="72"/>
  <c r="P129" i="72"/>
  <c r="P130" i="72"/>
  <c r="P127" i="72"/>
  <c r="P128" i="72"/>
  <c r="P131" i="72"/>
  <c r="P132" i="72"/>
  <c r="P125" i="72"/>
  <c r="P126" i="72"/>
  <c r="P121" i="72"/>
  <c r="P122" i="72"/>
  <c r="P117" i="72"/>
  <c r="P118" i="72"/>
  <c r="P119" i="72"/>
  <c r="P120" i="72"/>
  <c r="P123" i="72"/>
  <c r="P124" i="72"/>
  <c r="P115" i="72"/>
  <c r="P116" i="72"/>
  <c r="P107" i="72"/>
  <c r="P108" i="72"/>
  <c r="P113" i="72"/>
  <c r="P114" i="72"/>
  <c r="P109" i="72"/>
  <c r="P110" i="72"/>
  <c r="P111" i="72"/>
  <c r="P112" i="72"/>
  <c r="P105" i="72"/>
  <c r="P106" i="72"/>
  <c r="P97" i="72"/>
  <c r="P98" i="72"/>
  <c r="P95" i="72"/>
  <c r="P96" i="72"/>
  <c r="P93" i="72"/>
  <c r="P94" i="72"/>
  <c r="P91" i="72"/>
  <c r="P92" i="72"/>
  <c r="P89" i="72"/>
  <c r="P90" i="72"/>
  <c r="P103" i="72"/>
  <c r="P104" i="72"/>
  <c r="P99" i="72"/>
  <c r="P100" i="72"/>
  <c r="P101" i="72"/>
  <c r="P102" i="72"/>
  <c r="P83" i="72"/>
  <c r="P84" i="72"/>
  <c r="P85" i="72"/>
  <c r="P86" i="72"/>
  <c r="P87" i="72"/>
  <c r="P88" i="72"/>
  <c r="P81" i="72"/>
  <c r="P82" i="72"/>
  <c r="P75" i="72"/>
  <c r="P76" i="72"/>
  <c r="P73" i="72"/>
  <c r="P74" i="72"/>
  <c r="P77" i="72"/>
  <c r="P78" i="72"/>
  <c r="P69" i="72"/>
  <c r="P70" i="72"/>
  <c r="P71" i="72"/>
  <c r="P72" i="72"/>
  <c r="P79" i="72"/>
  <c r="P80" i="72"/>
  <c r="P65" i="72"/>
  <c r="P66" i="72"/>
  <c r="P61" i="72"/>
  <c r="P62" i="72"/>
  <c r="P55" i="72"/>
  <c r="P56" i="72"/>
  <c r="P51" i="72"/>
  <c r="P52" i="72"/>
  <c r="P63" i="72"/>
  <c r="P64" i="72"/>
  <c r="P57" i="72"/>
  <c r="P58" i="72"/>
  <c r="P53" i="72"/>
  <c r="P54" i="72"/>
  <c r="P67" i="72"/>
  <c r="P68" i="72"/>
  <c r="P59" i="72"/>
  <c r="P60" i="72"/>
  <c r="P47" i="72"/>
  <c r="P48" i="72"/>
  <c r="P49" i="72"/>
  <c r="P50" i="72"/>
  <c r="P45" i="72"/>
  <c r="P46" i="72"/>
  <c r="DT58" i="72"/>
  <c r="H194" i="48"/>
  <c r="H177" i="48"/>
  <c r="H178" i="48" s="1"/>
  <c r="G236" i="65"/>
  <c r="I90" i="65"/>
  <c r="I83" i="65"/>
  <c r="H123" i="48" s="1"/>
  <c r="H129" i="48" s="1"/>
  <c r="H78" i="65"/>
  <c r="H42" i="65"/>
  <c r="H37" i="65"/>
  <c r="H159" i="48" s="1"/>
  <c r="H36" i="65"/>
  <c r="H158" i="48" s="1"/>
  <c r="H34" i="65"/>
  <c r="H153" i="48" s="1"/>
  <c r="H32" i="65"/>
  <c r="H149" i="48" s="1"/>
  <c r="H33" i="65"/>
  <c r="H152" i="48" s="1"/>
  <c r="H21" i="65"/>
  <c r="H60" i="48" s="1"/>
  <c r="H19" i="65"/>
  <c r="H57" i="48" s="1"/>
  <c r="H17" i="65"/>
  <c r="H46" i="48" s="1"/>
  <c r="H20" i="48" s="1"/>
  <c r="H16" i="65"/>
  <c r="H45" i="48" s="1"/>
  <c r="H15" i="65"/>
  <c r="H40" i="48" s="1"/>
  <c r="H13" i="65"/>
  <c r="H26" i="48" s="1"/>
  <c r="H11" i="65"/>
  <c r="H24" i="48" s="1"/>
  <c r="H10" i="65"/>
  <c r="H23" i="48" s="1"/>
  <c r="H9" i="65"/>
  <c r="H19" i="48" s="1"/>
  <c r="E19" i="69"/>
  <c r="H193" i="48"/>
  <c r="E132" i="69"/>
  <c r="E135" i="69"/>
  <c r="D11" i="69"/>
  <c r="G132" i="69"/>
  <c r="G135" i="69"/>
  <c r="F11" i="69"/>
  <c r="F132" i="69"/>
  <c r="F135" i="69"/>
  <c r="E11" i="69"/>
  <c r="D132" i="69"/>
  <c r="H184" i="48"/>
  <c r="H187" i="48"/>
  <c r="H197" i="48"/>
  <c r="F191" i="65"/>
  <c r="F277" i="48"/>
  <c r="F194" i="65"/>
  <c r="F99" i="48"/>
  <c r="F91" i="64" s="1"/>
  <c r="F94" i="48"/>
  <c r="F92" i="48"/>
  <c r="H25" i="48"/>
  <c r="H61" i="48" s="1"/>
  <c r="H253" i="48"/>
  <c r="H261" i="48"/>
  <c r="I34" i="54"/>
  <c r="I35" i="54"/>
  <c r="I36" i="54"/>
  <c r="I38" i="54"/>
  <c r="I27" i="54"/>
  <c r="I40" i="54"/>
  <c r="I28" i="54"/>
  <c r="I30" i="54"/>
  <c r="I29" i="54"/>
  <c r="I50" i="54"/>
  <c r="I62" i="54"/>
  <c r="I65" i="54" s="1"/>
  <c r="I66" i="54" s="1"/>
  <c r="I70" i="54" s="1"/>
  <c r="I63" i="54"/>
  <c r="I64" i="54"/>
  <c r="I69" i="54"/>
  <c r="H205" i="48"/>
  <c r="H14" i="48"/>
  <c r="H16" i="48" s="1"/>
  <c r="F50" i="69"/>
  <c r="F51" i="69"/>
  <c r="F80" i="69"/>
  <c r="F83" i="69"/>
  <c r="E10" i="69"/>
  <c r="G50" i="69"/>
  <c r="G53" i="69"/>
  <c r="F12" i="69"/>
  <c r="G80" i="69"/>
  <c r="G83" i="69"/>
  <c r="F10" i="69"/>
  <c r="E50" i="69"/>
  <c r="E51" i="69"/>
  <c r="E80" i="69"/>
  <c r="E83" i="69"/>
  <c r="D10" i="69"/>
  <c r="H114" i="48"/>
  <c r="H138" i="48"/>
  <c r="H140" i="48" s="1"/>
  <c r="H136" i="48"/>
  <c r="H102" i="48"/>
  <c r="H104" i="48" s="1"/>
  <c r="E42" i="70"/>
  <c r="E22" i="70"/>
  <c r="D8" i="71"/>
  <c r="D35" i="71"/>
  <c r="D36" i="71"/>
  <c r="D38" i="71"/>
  <c r="D39" i="71"/>
  <c r="D22" i="71"/>
  <c r="I20" i="54"/>
  <c r="I24" i="54"/>
  <c r="I25" i="65"/>
  <c r="H25" i="65"/>
  <c r="F161" i="69"/>
  <c r="F165" i="69"/>
  <c r="E161" i="69"/>
  <c r="E165" i="69"/>
  <c r="B90" i="69"/>
  <c r="B142" i="69"/>
  <c r="D80" i="69"/>
  <c r="D83" i="69"/>
  <c r="D50" i="69"/>
  <c r="B94" i="69"/>
  <c r="B24" i="69"/>
  <c r="B63" i="69"/>
  <c r="IS284" i="48"/>
  <c r="G237" i="65"/>
  <c r="G115" i="68"/>
  <c r="G116" i="68"/>
  <c r="G117" i="68"/>
  <c r="G118" i="68"/>
  <c r="G119" i="68"/>
  <c r="G120" i="68"/>
  <c r="G121" i="68"/>
  <c r="G122" i="68"/>
  <c r="G123" i="68"/>
  <c r="G124" i="68"/>
  <c r="G125" i="68"/>
  <c r="G126" i="68"/>
  <c r="G130" i="68"/>
  <c r="G131" i="68"/>
  <c r="G132" i="68"/>
  <c r="G133" i="68"/>
  <c r="G134" i="68"/>
  <c r="G135" i="68"/>
  <c r="G136" i="68"/>
  <c r="G137" i="68"/>
  <c r="G138" i="68"/>
  <c r="G139" i="68"/>
  <c r="G140" i="68"/>
  <c r="G141" i="68"/>
  <c r="D109" i="68"/>
  <c r="D52" i="68"/>
  <c r="F109" i="68" s="1"/>
  <c r="E83" i="65"/>
  <c r="C83" i="65"/>
  <c r="H221" i="48"/>
  <c r="H222" i="48" s="1"/>
  <c r="H226" i="48" s="1"/>
  <c r="D11" i="54"/>
  <c r="I148" i="65"/>
  <c r="I151" i="65"/>
  <c r="I167" i="65"/>
  <c r="D153" i="68"/>
  <c r="C16" i="68"/>
  <c r="C17" i="68"/>
  <c r="B21" i="68"/>
  <c r="B153" i="68"/>
  <c r="A153" i="68"/>
  <c r="D149" i="68"/>
  <c r="B20" i="68"/>
  <c r="B149" i="68"/>
  <c r="A149" i="68"/>
  <c r="D106" i="68"/>
  <c r="B15" i="68"/>
  <c r="B16" i="68"/>
  <c r="B17" i="68"/>
  <c r="B19" i="68"/>
  <c r="B106" i="68"/>
  <c r="A106" i="68"/>
  <c r="C10" i="68"/>
  <c r="C11" i="68"/>
  <c r="C12" i="68"/>
  <c r="C13" i="68"/>
  <c r="C51" i="68"/>
  <c r="B10" i="68"/>
  <c r="A19" i="48"/>
  <c r="A20" i="48"/>
  <c r="G29" i="68"/>
  <c r="H29" i="68"/>
  <c r="F30" i="68"/>
  <c r="G30" i="68"/>
  <c r="H30" i="68"/>
  <c r="E41" i="68"/>
  <c r="H116" i="68"/>
  <c r="C167" i="65"/>
  <c r="C166" i="65"/>
  <c r="E62" i="48"/>
  <c r="E46" i="48"/>
  <c r="E40" i="64"/>
  <c r="E20" i="48"/>
  <c r="E42" i="48"/>
  <c r="B15" i="70"/>
  <c r="B16" i="70"/>
  <c r="B17" i="70"/>
  <c r="B18" i="70"/>
  <c r="B19" i="70"/>
  <c r="B28" i="70"/>
  <c r="B29" i="70"/>
  <c r="B38" i="70"/>
  <c r="B39" i="70"/>
  <c r="B50" i="70"/>
  <c r="B51" i="70"/>
  <c r="B52" i="70"/>
  <c r="B53" i="70"/>
  <c r="B54" i="70"/>
  <c r="B55" i="70"/>
  <c r="B56" i="70"/>
  <c r="B57" i="70"/>
  <c r="B58" i="70"/>
  <c r="B59" i="70"/>
  <c r="B61" i="70"/>
  <c r="E63" i="70"/>
  <c r="A1" i="70"/>
  <c r="A12" i="71"/>
  <c r="A13" i="71"/>
  <c r="A14" i="71"/>
  <c r="A15" i="71"/>
  <c r="A16" i="71"/>
  <c r="A17" i="71"/>
  <c r="A18" i="71"/>
  <c r="A19" i="71"/>
  <c r="A21" i="71"/>
  <c r="A1" i="71"/>
  <c r="G62" i="54"/>
  <c r="G63" i="54"/>
  <c r="G64" i="54"/>
  <c r="G69" i="54"/>
  <c r="C19" i="54"/>
  <c r="D20" i="54"/>
  <c r="G20" i="54"/>
  <c r="D21" i="54"/>
  <c r="G21" i="54"/>
  <c r="D22" i="54"/>
  <c r="C24" i="54"/>
  <c r="E24" i="54"/>
  <c r="G24" i="54"/>
  <c r="C26" i="54"/>
  <c r="D27" i="54"/>
  <c r="G27" i="54"/>
  <c r="D28" i="54"/>
  <c r="E28" i="54"/>
  <c r="D29" i="54"/>
  <c r="E29" i="54"/>
  <c r="D30" i="54"/>
  <c r="E30" i="54"/>
  <c r="G30" i="54"/>
  <c r="D31" i="54"/>
  <c r="C33" i="54"/>
  <c r="D34" i="54"/>
  <c r="G34" i="54"/>
  <c r="D35" i="54"/>
  <c r="G35" i="54"/>
  <c r="D36" i="54"/>
  <c r="F36" i="54"/>
  <c r="G36" i="54"/>
  <c r="D38" i="54"/>
  <c r="F38" i="54"/>
  <c r="D39" i="54"/>
  <c r="D40" i="54"/>
  <c r="G40" i="54"/>
  <c r="D41" i="54"/>
  <c r="D42" i="54"/>
  <c r="D44" i="54"/>
  <c r="F44" i="54"/>
  <c r="D45" i="54"/>
  <c r="F45" i="54"/>
  <c r="D46" i="54"/>
  <c r="F46" i="54"/>
  <c r="D48" i="54"/>
  <c r="F48" i="54"/>
  <c r="D49" i="54"/>
  <c r="F49" i="54"/>
  <c r="D50" i="54"/>
  <c r="F50" i="54"/>
  <c r="D52" i="54"/>
  <c r="F52" i="54"/>
  <c r="D53" i="54"/>
  <c r="F53" i="54"/>
  <c r="D54" i="54"/>
  <c r="F54" i="54"/>
  <c r="C55" i="54"/>
  <c r="C57" i="54"/>
  <c r="C16" i="54"/>
  <c r="A1" i="54"/>
  <c r="E191" i="48"/>
  <c r="F35" i="54" s="1"/>
  <c r="F37" i="54" s="1"/>
  <c r="E206" i="48"/>
  <c r="F194" i="48"/>
  <c r="G38" i="54" s="1"/>
  <c r="F185" i="48"/>
  <c r="G29" i="54" s="1"/>
  <c r="E177" i="48"/>
  <c r="E21" i="54" s="1"/>
  <c r="G152" i="65"/>
  <c r="I159" i="65"/>
  <c r="I160" i="65"/>
  <c r="C219" i="65"/>
  <c r="B218" i="65"/>
  <c r="A216" i="65"/>
  <c r="F116" i="65"/>
  <c r="C116" i="65"/>
  <c r="G114" i="65" s="1"/>
  <c r="F133" i="65"/>
  <c r="C133" i="65"/>
  <c r="G131" i="65" s="1"/>
  <c r="C138" i="65"/>
  <c r="D126" i="65"/>
  <c r="G122" i="65"/>
  <c r="C179" i="65"/>
  <c r="G109" i="65"/>
  <c r="C28" i="65"/>
  <c r="F28" i="65"/>
  <c r="G54" i="65"/>
  <c r="G76" i="65" s="1"/>
  <c r="G81" i="65" s="1"/>
  <c r="G1" i="65"/>
  <c r="E253" i="48"/>
  <c r="E116" i="65"/>
  <c r="F103" i="48"/>
  <c r="F138" i="65"/>
  <c r="E102" i="48"/>
  <c r="E133" i="65"/>
  <c r="E118" i="48"/>
  <c r="E28" i="65"/>
  <c r="F16" i="64"/>
  <c r="F56" i="65"/>
  <c r="C16" i="64"/>
  <c r="C56" i="65"/>
  <c r="F52" i="64"/>
  <c r="F63" i="65"/>
  <c r="C52" i="64"/>
  <c r="C63" i="65"/>
  <c r="C40" i="64"/>
  <c r="C61" i="65"/>
  <c r="C38" i="64"/>
  <c r="C60" i="65"/>
  <c r="F37" i="64"/>
  <c r="F59" i="65"/>
  <c r="C37" i="64"/>
  <c r="C59" i="65"/>
  <c r="C17" i="64"/>
  <c r="C57" i="65"/>
  <c r="B36" i="64"/>
  <c r="B58" i="65"/>
  <c r="B15" i="64"/>
  <c r="B55" i="65"/>
  <c r="F45" i="64"/>
  <c r="F42" i="65"/>
  <c r="C45" i="64"/>
  <c r="C42" i="65"/>
  <c r="F272" i="64"/>
  <c r="F231" i="65"/>
  <c r="F247" i="64"/>
  <c r="F208" i="65"/>
  <c r="F94" i="64"/>
  <c r="F174" i="65"/>
  <c r="C123" i="64"/>
  <c r="C109" i="65"/>
  <c r="F123" i="64"/>
  <c r="F109" i="65"/>
  <c r="C205" i="64"/>
  <c r="C103" i="65"/>
  <c r="C127" i="64"/>
  <c r="C96" i="65"/>
  <c r="F127" i="64"/>
  <c r="F96" i="65"/>
  <c r="B121" i="64"/>
  <c r="B95" i="65"/>
  <c r="C122" i="64"/>
  <c r="C90" i="65"/>
  <c r="F122" i="64"/>
  <c r="F90" i="65"/>
  <c r="C114" i="64"/>
  <c r="C88" i="65"/>
  <c r="F114" i="64"/>
  <c r="F88" i="65"/>
  <c r="B110" i="64"/>
  <c r="B87" i="65"/>
  <c r="C116" i="64"/>
  <c r="C78" i="65"/>
  <c r="F116" i="64"/>
  <c r="F78" i="65"/>
  <c r="C145" i="64"/>
  <c r="C36" i="65"/>
  <c r="F145" i="64"/>
  <c r="C146" i="64"/>
  <c r="C37" i="65" s="1"/>
  <c r="F146" i="64"/>
  <c r="C140" i="64"/>
  <c r="C34" i="65"/>
  <c r="F140" i="64"/>
  <c r="C111" i="64"/>
  <c r="C29" i="65" s="1"/>
  <c r="C82" i="64"/>
  <c r="C25" i="65" s="1"/>
  <c r="F82" i="64"/>
  <c r="F25" i="65" s="1"/>
  <c r="C71" i="64"/>
  <c r="C23" i="65" s="1"/>
  <c r="F71" i="64"/>
  <c r="F23" i="65" s="1"/>
  <c r="C56" i="64"/>
  <c r="C21" i="64"/>
  <c r="C11" i="65"/>
  <c r="F21" i="64"/>
  <c r="C22" i="64"/>
  <c r="C12" i="65" s="1"/>
  <c r="F22" i="64"/>
  <c r="F12" i="65" s="1"/>
  <c r="C23" i="64"/>
  <c r="C13" i="65" s="1"/>
  <c r="F23" i="64"/>
  <c r="C247" i="64"/>
  <c r="C208" i="65"/>
  <c r="G206" i="65" s="1"/>
  <c r="C272" i="64"/>
  <c r="C231" i="65" s="1"/>
  <c r="G229" i="65" s="1"/>
  <c r="C94" i="64"/>
  <c r="C174" i="65"/>
  <c r="G172" i="65" s="1"/>
  <c r="E16" i="64"/>
  <c r="E56" i="65" s="1"/>
  <c r="E52" i="64"/>
  <c r="E63" i="65" s="1"/>
  <c r="E37" i="64"/>
  <c r="E59" i="65" s="1"/>
  <c r="E51" i="48"/>
  <c r="E45" i="64" s="1"/>
  <c r="E42" i="65" s="1"/>
  <c r="E261" i="48"/>
  <c r="E247" i="64"/>
  <c r="E94" i="64"/>
  <c r="E174" i="65"/>
  <c r="E135" i="48"/>
  <c r="E123" i="64"/>
  <c r="E109" i="65" s="1"/>
  <c r="E219" i="48"/>
  <c r="E205" i="64" s="1"/>
  <c r="E103" i="65" s="1"/>
  <c r="E139" i="48"/>
  <c r="E127" i="64"/>
  <c r="E96" i="65" s="1"/>
  <c r="E134" i="48"/>
  <c r="E122" i="64" s="1"/>
  <c r="E90" i="65" s="1"/>
  <c r="E126" i="48"/>
  <c r="E114" i="64"/>
  <c r="E88" i="65" s="1"/>
  <c r="E128" i="48"/>
  <c r="E116" i="64" s="1"/>
  <c r="E78" i="65" s="1"/>
  <c r="E158" i="48"/>
  <c r="E145" i="64"/>
  <c r="E36" i="65" s="1"/>
  <c r="E159" i="48"/>
  <c r="E146" i="64" s="1"/>
  <c r="E37" i="65" s="1"/>
  <c r="E153" i="48"/>
  <c r="E140" i="64"/>
  <c r="E34" i="65" s="1"/>
  <c r="E122" i="48"/>
  <c r="E111" i="64" s="1"/>
  <c r="E29" i="65" s="1"/>
  <c r="E90" i="48"/>
  <c r="E82" i="64"/>
  <c r="E25" i="65" s="1"/>
  <c r="E75" i="48"/>
  <c r="E71" i="64" s="1"/>
  <c r="E23" i="65" s="1"/>
  <c r="C61" i="48"/>
  <c r="C55" i="64"/>
  <c r="E24" i="48"/>
  <c r="E21" i="64"/>
  <c r="E11" i="65" s="1"/>
  <c r="E25" i="48"/>
  <c r="E22" i="64" s="1"/>
  <c r="E12" i="65" s="1"/>
  <c r="E26" i="48"/>
  <c r="E23" i="64"/>
  <c r="E13" i="65" s="1"/>
  <c r="F40" i="64"/>
  <c r="E17" i="64"/>
  <c r="E57" i="65"/>
  <c r="E55" i="64"/>
  <c r="E56" i="64"/>
  <c r="F42" i="48"/>
  <c r="E38" i="64"/>
  <c r="E60" i="65" s="1"/>
  <c r="F205" i="64"/>
  <c r="F103" i="65" s="1"/>
  <c r="E288" i="48"/>
  <c r="E272" i="64" s="1"/>
  <c r="E231" i="65" s="1"/>
  <c r="A1" i="73"/>
  <c r="F86" i="68"/>
  <c r="G86" i="68"/>
  <c r="H86" i="68"/>
  <c r="F63" i="68"/>
  <c r="F64" i="68"/>
  <c r="A78" i="68"/>
  <c r="H81" i="68"/>
  <c r="D78" i="68"/>
  <c r="E109" i="68"/>
  <c r="G109" i="68"/>
  <c r="D45" i="68"/>
  <c r="G85" i="68"/>
  <c r="H85" i="68"/>
  <c r="D60" i="68"/>
  <c r="E116" i="68"/>
  <c r="E117" i="68"/>
  <c r="E118" i="68"/>
  <c r="E119" i="68"/>
  <c r="E120" i="68"/>
  <c r="E121" i="68"/>
  <c r="E122" i="68"/>
  <c r="E123" i="68"/>
  <c r="E124" i="68"/>
  <c r="E125" i="68"/>
  <c r="E126" i="68"/>
  <c r="E130" i="68"/>
  <c r="E131" i="68"/>
  <c r="E132" i="68"/>
  <c r="E133" i="68"/>
  <c r="E134" i="68"/>
  <c r="E135" i="68"/>
  <c r="E136" i="68"/>
  <c r="E137" i="68"/>
  <c r="E138" i="68"/>
  <c r="E139" i="68"/>
  <c r="E140" i="68"/>
  <c r="E141" i="68"/>
  <c r="D56" i="68"/>
  <c r="D51" i="68"/>
  <c r="D27" i="68"/>
  <c r="D24" i="68"/>
  <c r="E150" i="68"/>
  <c r="D141" i="68"/>
  <c r="D140" i="68"/>
  <c r="D139" i="68"/>
  <c r="D138" i="68"/>
  <c r="D137" i="68"/>
  <c r="D136" i="68"/>
  <c r="D135" i="68"/>
  <c r="D134" i="68"/>
  <c r="D133" i="68"/>
  <c r="D132" i="68"/>
  <c r="D131" i="68"/>
  <c r="D130" i="68"/>
  <c r="E74" i="68"/>
  <c r="C60" i="68"/>
  <c r="A60" i="68"/>
  <c r="C56" i="68"/>
  <c r="A56" i="68"/>
  <c r="B51" i="68"/>
  <c r="A51" i="68"/>
  <c r="C24" i="68"/>
  <c r="C27" i="68"/>
  <c r="C45" i="68"/>
  <c r="C48" i="68"/>
  <c r="B48" i="68"/>
  <c r="B24" i="68"/>
  <c r="B27" i="68"/>
  <c r="B45" i="68"/>
  <c r="A24" i="68"/>
  <c r="A1" i="68"/>
  <c r="C17" i="72"/>
  <c r="C12" i="72"/>
  <c r="C11" i="72"/>
  <c r="A1" i="72"/>
  <c r="C18" i="53"/>
  <c r="C14" i="53"/>
  <c r="B14" i="53"/>
  <c r="A1" i="53"/>
  <c r="A12" i="48"/>
  <c r="A13" i="48"/>
  <c r="F48" i="48"/>
  <c r="C60" i="48"/>
  <c r="C54" i="64" s="1"/>
  <c r="C64" i="48"/>
  <c r="F64" i="48"/>
  <c r="F91" i="48"/>
  <c r="F130" i="48"/>
  <c r="F118" i="64"/>
  <c r="F161" i="48"/>
  <c r="C252" i="48"/>
  <c r="C277" i="48"/>
  <c r="E224" i="48"/>
  <c r="E211" i="64" s="1"/>
  <c r="C266" i="48"/>
  <c r="E86" i="48"/>
  <c r="E193" i="48"/>
  <c r="D194" i="48"/>
  <c r="E117" i="48"/>
  <c r="C32" i="55"/>
  <c r="C33" i="55"/>
  <c r="C28" i="55"/>
  <c r="D46" i="55"/>
  <c r="D47" i="55"/>
  <c r="K34" i="55"/>
  <c r="K35" i="55"/>
  <c r="K28" i="55"/>
  <c r="L42" i="55"/>
  <c r="L43" i="55"/>
  <c r="G34" i="55"/>
  <c r="G28" i="55"/>
  <c r="H62" i="55"/>
  <c r="H63" i="55"/>
  <c r="D60" i="55"/>
  <c r="D61" i="55"/>
  <c r="AI28" i="55"/>
  <c r="AJ40" i="55"/>
  <c r="AE28" i="55"/>
  <c r="AF44" i="55"/>
  <c r="AF45" i="55"/>
  <c r="AA28" i="55"/>
  <c r="AB38" i="55"/>
  <c r="W28" i="55"/>
  <c r="X38" i="55"/>
  <c r="S28" i="55"/>
  <c r="T38" i="55"/>
  <c r="T39" i="55"/>
  <c r="O28" i="55"/>
  <c r="P36" i="55"/>
  <c r="C16" i="55"/>
  <c r="C11" i="55"/>
  <c r="C10" i="55"/>
  <c r="S36" i="55"/>
  <c r="S37" i="55"/>
  <c r="O36" i="55"/>
  <c r="O37" i="55"/>
  <c r="AA38" i="55"/>
  <c r="AA39" i="55"/>
  <c r="W38" i="55"/>
  <c r="W39" i="55"/>
  <c r="AI40" i="55"/>
  <c r="AI41" i="55"/>
  <c r="AE40" i="55"/>
  <c r="AE41" i="55"/>
  <c r="T58" i="55"/>
  <c r="T59" i="55"/>
  <c r="AF62" i="55"/>
  <c r="AF63" i="55"/>
  <c r="AO72" i="55"/>
  <c r="AN73" i="55"/>
  <c r="AJ21" i="55"/>
  <c r="AK21" i="55"/>
  <c r="AL21" i="55"/>
  <c r="AF21" i="55"/>
  <c r="AG21" i="55"/>
  <c r="AH21" i="55"/>
  <c r="AB21" i="55"/>
  <c r="AC21" i="55"/>
  <c r="AD21" i="55"/>
  <c r="X21" i="55"/>
  <c r="Y21" i="55"/>
  <c r="Z21" i="55"/>
  <c r="T21" i="55"/>
  <c r="U21" i="55"/>
  <c r="V21" i="55"/>
  <c r="P21" i="55"/>
  <c r="Q21" i="55"/>
  <c r="R21" i="55"/>
  <c r="L21" i="55"/>
  <c r="M21" i="55"/>
  <c r="N21" i="55"/>
  <c r="D21" i="55"/>
  <c r="E21" i="55"/>
  <c r="F21" i="55"/>
  <c r="B35" i="55"/>
  <c r="B37" i="55"/>
  <c r="B39" i="55"/>
  <c r="B41" i="55"/>
  <c r="B43" i="55"/>
  <c r="B45" i="55"/>
  <c r="B47" i="55"/>
  <c r="B49" i="55"/>
  <c r="B51" i="55"/>
  <c r="B53" i="55"/>
  <c r="B55" i="55"/>
  <c r="B57" i="55"/>
  <c r="B59" i="55"/>
  <c r="B61" i="55"/>
  <c r="B63" i="55"/>
  <c r="B65" i="55"/>
  <c r="B67" i="55"/>
  <c r="B69" i="55"/>
  <c r="B71" i="55"/>
  <c r="B34" i="55"/>
  <c r="B36" i="55"/>
  <c r="B38" i="55"/>
  <c r="B40" i="55"/>
  <c r="B42" i="55"/>
  <c r="B44" i="55"/>
  <c r="B46" i="55"/>
  <c r="B48" i="55"/>
  <c r="B50" i="55"/>
  <c r="B52" i="55"/>
  <c r="B54" i="55"/>
  <c r="B56" i="55"/>
  <c r="B58" i="55"/>
  <c r="B60" i="55"/>
  <c r="B62" i="55"/>
  <c r="B64" i="55"/>
  <c r="B66" i="55"/>
  <c r="B68" i="55"/>
  <c r="B70" i="55"/>
  <c r="L16" i="55"/>
  <c r="AA26" i="55" s="1"/>
  <c r="L10" i="55"/>
  <c r="O25" i="55" s="1"/>
  <c r="L11" i="55"/>
  <c r="F111" i="64"/>
  <c r="C77" i="64"/>
  <c r="F77" i="64"/>
  <c r="C239" i="64"/>
  <c r="E239" i="64"/>
  <c r="E77" i="64"/>
  <c r="F239" i="64"/>
  <c r="O3" i="64"/>
  <c r="Q3" i="64"/>
  <c r="P3" i="64"/>
  <c r="N3" i="64"/>
  <c r="M3" i="64"/>
  <c r="K3" i="64"/>
  <c r="L3" i="64"/>
  <c r="J3" i="64"/>
  <c r="I3" i="64"/>
  <c r="H3" i="64"/>
  <c r="B245" i="64"/>
  <c r="B389" i="64" s="1"/>
  <c r="F390" i="64"/>
  <c r="I408" i="64"/>
  <c r="G406" i="64"/>
  <c r="C374" i="64"/>
  <c r="G372" i="64"/>
  <c r="G354" i="64"/>
  <c r="G313" i="64"/>
  <c r="G323" i="64"/>
  <c r="B5" i="64"/>
  <c r="A6" i="64"/>
  <c r="C6" i="64"/>
  <c r="F6" i="64"/>
  <c r="C8" i="64"/>
  <c r="F8" i="64"/>
  <c r="C9" i="64"/>
  <c r="F9" i="64"/>
  <c r="C10" i="64"/>
  <c r="A12" i="64"/>
  <c r="B12" i="64"/>
  <c r="C18" i="64"/>
  <c r="C20" i="64"/>
  <c r="F20" i="64"/>
  <c r="C24" i="64"/>
  <c r="C26" i="64"/>
  <c r="C28" i="64"/>
  <c r="B29" i="64"/>
  <c r="C31" i="64"/>
  <c r="B32" i="64"/>
  <c r="A34" i="64"/>
  <c r="A35" i="64"/>
  <c r="C39" i="64"/>
  <c r="F39" i="64"/>
  <c r="C41" i="64"/>
  <c r="C42" i="64"/>
  <c r="C43" i="64"/>
  <c r="B47" i="64"/>
  <c r="B49" i="64"/>
  <c r="C51" i="64"/>
  <c r="F51" i="64"/>
  <c r="C53" i="64"/>
  <c r="F53" i="64"/>
  <c r="C57" i="64"/>
  <c r="C59" i="64"/>
  <c r="B61" i="64"/>
  <c r="B63" i="64"/>
  <c r="A65" i="64"/>
  <c r="B67" i="64"/>
  <c r="C68" i="64"/>
  <c r="F68" i="64"/>
  <c r="C69" i="64"/>
  <c r="F69" i="64"/>
  <c r="C70" i="64"/>
  <c r="C73" i="64"/>
  <c r="B76" i="64"/>
  <c r="C78" i="64"/>
  <c r="C79" i="64"/>
  <c r="B81" i="64"/>
  <c r="C83" i="64"/>
  <c r="C84" i="64"/>
  <c r="C85" i="64"/>
  <c r="F85" i="64"/>
  <c r="C86" i="64"/>
  <c r="B88" i="64"/>
  <c r="C89" i="64"/>
  <c r="C90" i="64"/>
  <c r="F90" i="64"/>
  <c r="C91" i="64"/>
  <c r="B93" i="64"/>
  <c r="C95" i="64"/>
  <c r="C96" i="64"/>
  <c r="B98" i="64"/>
  <c r="B100" i="64"/>
  <c r="A102" i="64"/>
  <c r="B104" i="64"/>
  <c r="C105" i="64"/>
  <c r="F105" i="64"/>
  <c r="C106" i="64"/>
  <c r="F106" i="64"/>
  <c r="C107" i="64"/>
  <c r="F107" i="64"/>
  <c r="C108" i="64"/>
  <c r="C112" i="64"/>
  <c r="F112" i="64"/>
  <c r="C113" i="64"/>
  <c r="F113" i="64"/>
  <c r="C115" i="64"/>
  <c r="F115" i="64"/>
  <c r="C117" i="64"/>
  <c r="C118" i="64"/>
  <c r="C119" i="64"/>
  <c r="C124" i="64"/>
  <c r="C126" i="64"/>
  <c r="F126" i="64"/>
  <c r="C128" i="64"/>
  <c r="C129" i="64"/>
  <c r="C130" i="64"/>
  <c r="C132" i="64"/>
  <c r="A134" i="64"/>
  <c r="B136" i="64"/>
  <c r="C137" i="64"/>
  <c r="F137" i="64"/>
  <c r="C139" i="64"/>
  <c r="F139" i="64"/>
  <c r="C141" i="64"/>
  <c r="C142" i="64"/>
  <c r="C143" i="64"/>
  <c r="C147" i="64"/>
  <c r="C148" i="64"/>
  <c r="C149" i="64"/>
  <c r="B152" i="64"/>
  <c r="A154" i="64"/>
  <c r="B156" i="64"/>
  <c r="F156" i="64"/>
  <c r="B158" i="64"/>
  <c r="A160" i="64"/>
  <c r="B162" i="64"/>
  <c r="C163" i="64"/>
  <c r="F163" i="64"/>
  <c r="C164" i="64"/>
  <c r="F164" i="64"/>
  <c r="C165" i="64"/>
  <c r="B167" i="64"/>
  <c r="E167" i="64"/>
  <c r="F167" i="64"/>
  <c r="B169" i="64"/>
  <c r="C170" i="64"/>
  <c r="F170" i="64"/>
  <c r="C171" i="64"/>
  <c r="E171" i="64"/>
  <c r="C172" i="64"/>
  <c r="C173" i="64"/>
  <c r="E173" i="64"/>
  <c r="F173" i="64"/>
  <c r="C174" i="64"/>
  <c r="B176" i="64"/>
  <c r="C177" i="64"/>
  <c r="F177" i="64"/>
  <c r="C178" i="64"/>
  <c r="F178" i="64"/>
  <c r="C179" i="64"/>
  <c r="E179" i="64"/>
  <c r="F179" i="64"/>
  <c r="C180" i="64"/>
  <c r="E180" i="64"/>
  <c r="C181" i="64"/>
  <c r="C182" i="64"/>
  <c r="F182" i="64"/>
  <c r="C183" i="64"/>
  <c r="C184" i="64"/>
  <c r="C186" i="64"/>
  <c r="D186" i="64"/>
  <c r="C187" i="64"/>
  <c r="D187" i="64"/>
  <c r="C188" i="64"/>
  <c r="D188" i="64"/>
  <c r="C190" i="64"/>
  <c r="D190" i="64"/>
  <c r="C191" i="64"/>
  <c r="D191" i="64"/>
  <c r="C192" i="64"/>
  <c r="D192" i="64"/>
  <c r="F192" i="64"/>
  <c r="C194" i="64"/>
  <c r="D194" i="64"/>
  <c r="C195" i="64"/>
  <c r="D195" i="64"/>
  <c r="C196" i="64"/>
  <c r="D196" i="64"/>
  <c r="B197" i="64"/>
  <c r="B199" i="64"/>
  <c r="A201" i="64"/>
  <c r="A203" i="64"/>
  <c r="B203" i="64"/>
  <c r="C204" i="64"/>
  <c r="F204" i="64"/>
  <c r="C206" i="64"/>
  <c r="D206" i="64"/>
  <c r="F206" i="64"/>
  <c r="C207" i="64"/>
  <c r="D207" i="64"/>
  <c r="C208" i="64"/>
  <c r="B210" i="64"/>
  <c r="C211" i="64"/>
  <c r="F211" i="64"/>
  <c r="C212" i="64"/>
  <c r="C213" i="64"/>
  <c r="C214" i="64"/>
  <c r="B218" i="64"/>
  <c r="D218" i="64"/>
  <c r="B220" i="64"/>
  <c r="A222" i="64"/>
  <c r="B224" i="64"/>
  <c r="C225" i="64"/>
  <c r="C226" i="64"/>
  <c r="C227" i="64"/>
  <c r="C229" i="64"/>
  <c r="C230" i="64"/>
  <c r="C231" i="64"/>
  <c r="C232" i="64"/>
  <c r="C233" i="64"/>
  <c r="C235" i="64"/>
  <c r="B237" i="64"/>
  <c r="C240" i="64"/>
  <c r="C241" i="64"/>
  <c r="C242" i="64"/>
  <c r="C243" i="64"/>
  <c r="C246" i="64"/>
  <c r="F246" i="64"/>
  <c r="C249" i="64"/>
  <c r="B251" i="64"/>
  <c r="C253" i="64"/>
  <c r="C254" i="64"/>
  <c r="C255" i="64"/>
  <c r="C256" i="64"/>
  <c r="B259" i="64"/>
  <c r="C260" i="64"/>
  <c r="C261" i="64"/>
  <c r="F261" i="64"/>
  <c r="C262" i="64"/>
  <c r="C264" i="64"/>
  <c r="C265" i="64"/>
  <c r="C267" i="64"/>
  <c r="C268" i="64"/>
  <c r="F268" i="64"/>
  <c r="C269" i="64"/>
  <c r="B271" i="64"/>
  <c r="C273" i="64"/>
  <c r="D273" i="64"/>
  <c r="C275" i="64"/>
  <c r="E214" i="64"/>
  <c r="A69" i="64"/>
  <c r="A70" i="64"/>
  <c r="F70" i="64"/>
  <c r="A104" i="64"/>
  <c r="A8" i="64"/>
  <c r="F42" i="64"/>
  <c r="C58" i="64"/>
  <c r="F58" i="64"/>
  <c r="F78" i="64"/>
  <c r="F83" i="64"/>
  <c r="F142" i="64"/>
  <c r="F148" i="64"/>
  <c r="E178" i="64"/>
  <c r="C238" i="64"/>
  <c r="C263" i="64"/>
  <c r="E192" i="64"/>
  <c r="E374" i="64"/>
  <c r="C252" i="64"/>
  <c r="F95" i="64"/>
  <c r="A78" i="64"/>
  <c r="F214" i="64"/>
  <c r="F171" i="64"/>
  <c r="A268" i="64"/>
  <c r="F180" i="64"/>
  <c r="C8" i="65"/>
  <c r="F179" i="65"/>
  <c r="F31" i="68"/>
  <c r="G31" i="68"/>
  <c r="H31" i="68"/>
  <c r="X70" i="55"/>
  <c r="X71" i="55"/>
  <c r="X62" i="55"/>
  <c r="X63" i="55"/>
  <c r="X54" i="55"/>
  <c r="X55" i="55"/>
  <c r="X46" i="55"/>
  <c r="X47" i="55"/>
  <c r="L58" i="55"/>
  <c r="L59" i="55"/>
  <c r="D56" i="55"/>
  <c r="D57" i="55"/>
  <c r="L54" i="55"/>
  <c r="L55" i="55"/>
  <c r="D52" i="55"/>
  <c r="D53" i="55"/>
  <c r="L50" i="55"/>
  <c r="L51" i="55"/>
  <c r="D48" i="55"/>
  <c r="D49" i="55"/>
  <c r="L46" i="55"/>
  <c r="L47" i="55"/>
  <c r="D44" i="55"/>
  <c r="D45" i="55"/>
  <c r="D38" i="55"/>
  <c r="D39" i="55"/>
  <c r="D36" i="55"/>
  <c r="D37" i="55"/>
  <c r="C17" i="65"/>
  <c r="AA25" i="55"/>
  <c r="AI25" i="55"/>
  <c r="H36" i="55"/>
  <c r="H37" i="55"/>
  <c r="F61" i="65"/>
  <c r="G239" i="65"/>
  <c r="AE25" i="55"/>
  <c r="B89" i="65"/>
  <c r="C25" i="55"/>
  <c r="L12" i="55"/>
  <c r="O26" i="55"/>
  <c r="I49" i="54"/>
  <c r="AE26" i="55"/>
  <c r="D34" i="55"/>
  <c r="D35" i="55"/>
  <c r="E103" i="48"/>
  <c r="E138" i="65" s="1"/>
  <c r="H117" i="68"/>
  <c r="H118" i="68"/>
  <c r="H119" i="68"/>
  <c r="H120" i="68"/>
  <c r="H121" i="68"/>
  <c r="H122" i="68"/>
  <c r="H123" i="68"/>
  <c r="H124" i="68"/>
  <c r="H125" i="68"/>
  <c r="H126" i="68"/>
  <c r="F54" i="64"/>
  <c r="F238" i="64"/>
  <c r="F253" i="64"/>
  <c r="F263" i="64"/>
  <c r="F79" i="64"/>
  <c r="A77" i="64"/>
  <c r="A79" i="64"/>
  <c r="F84" i="64"/>
  <c r="A82" i="64"/>
  <c r="A83" i="64"/>
  <c r="F86" i="64"/>
  <c r="A84" i="64"/>
  <c r="A85" i="64"/>
  <c r="A86" i="64"/>
  <c r="A89" i="64"/>
  <c r="A90" i="64"/>
  <c r="A91" i="64"/>
  <c r="A94" i="64"/>
  <c r="A374" i="64"/>
  <c r="A95" i="64"/>
  <c r="F96" i="64"/>
  <c r="A96" i="64"/>
  <c r="F98" i="64"/>
  <c r="F226" i="64"/>
  <c r="A98" i="64"/>
  <c r="F100" i="64"/>
  <c r="A100" i="64"/>
  <c r="F227" i="64"/>
  <c r="A105" i="64"/>
  <c r="A106" i="64"/>
  <c r="F108" i="64"/>
  <c r="A107" i="64"/>
  <c r="A108" i="64"/>
  <c r="A111" i="64"/>
  <c r="A112" i="64"/>
  <c r="A113" i="64"/>
  <c r="A114" i="64"/>
  <c r="A115" i="64"/>
  <c r="A116" i="64"/>
  <c r="F117" i="64"/>
  <c r="F119" i="64"/>
  <c r="A117" i="64"/>
  <c r="A118" i="64"/>
  <c r="A119" i="64"/>
  <c r="A122" i="64"/>
  <c r="F124" i="64"/>
  <c r="A123" i="64"/>
  <c r="A124" i="64"/>
  <c r="A126" i="64"/>
  <c r="F128" i="64"/>
  <c r="A127" i="64"/>
  <c r="A128" i="64"/>
  <c r="F130" i="64"/>
  <c r="A129" i="64"/>
  <c r="A130" i="64"/>
  <c r="F132" i="64"/>
  <c r="F229" i="64"/>
  <c r="F89" i="64"/>
  <c r="A132" i="64"/>
  <c r="A137" i="64"/>
  <c r="A139" i="64"/>
  <c r="F141" i="64"/>
  <c r="A140" i="64"/>
  <c r="F143" i="64"/>
  <c r="A141" i="64"/>
  <c r="A142" i="64"/>
  <c r="A143" i="64"/>
  <c r="A145" i="64"/>
  <c r="F147" i="64"/>
  <c r="A146" i="64"/>
  <c r="F149" i="64"/>
  <c r="A147" i="64"/>
  <c r="A148" i="64"/>
  <c r="A149" i="64"/>
  <c r="F152" i="64"/>
  <c r="F230" i="64"/>
  <c r="A152" i="64"/>
  <c r="A156" i="64"/>
  <c r="F158" i="64"/>
  <c r="A158" i="64"/>
  <c r="F231" i="64"/>
  <c r="A163" i="64"/>
  <c r="F165" i="64"/>
  <c r="A21" i="54"/>
  <c r="A14" i="53"/>
  <c r="A164" i="64"/>
  <c r="A165" i="64"/>
  <c r="A167" i="64"/>
  <c r="A170" i="64"/>
  <c r="A171" i="64"/>
  <c r="A29" i="54"/>
  <c r="A172" i="64"/>
  <c r="A173" i="64"/>
  <c r="F174" i="64"/>
  <c r="A174" i="64"/>
  <c r="A177" i="64"/>
  <c r="F183" i="64"/>
  <c r="A178" i="64"/>
  <c r="A179" i="64"/>
  <c r="A180" i="64"/>
  <c r="A18" i="53"/>
  <c r="F181" i="64"/>
  <c r="A181" i="64"/>
  <c r="F190" i="64"/>
  <c r="A182" i="64"/>
  <c r="F191" i="64"/>
  <c r="A183" i="64"/>
  <c r="F184" i="64"/>
  <c r="A184" i="64"/>
  <c r="F188" i="64"/>
  <c r="F187" i="64"/>
  <c r="A186" i="64"/>
  <c r="F186" i="64"/>
  <c r="A187" i="64"/>
  <c r="A188" i="64"/>
  <c r="A190" i="64"/>
  <c r="F194" i="64"/>
  <c r="A191" i="64"/>
  <c r="A192" i="64"/>
  <c r="F195" i="64"/>
  <c r="A194" i="64"/>
  <c r="F196" i="64"/>
  <c r="A195" i="64"/>
  <c r="A196" i="64"/>
  <c r="A197" i="64"/>
  <c r="F197" i="64"/>
  <c r="A199" i="64"/>
  <c r="F232" i="64"/>
  <c r="F199" i="64"/>
  <c r="A204" i="64"/>
  <c r="A205" i="64"/>
  <c r="A206" i="64"/>
  <c r="A207" i="64"/>
  <c r="F218" i="64"/>
  <c r="A208" i="64"/>
  <c r="F212" i="64"/>
  <c r="A211" i="64"/>
  <c r="A212" i="64"/>
  <c r="A213" i="64"/>
  <c r="A214" i="64"/>
  <c r="F220" i="64"/>
  <c r="A218" i="64"/>
  <c r="A220" i="64"/>
  <c r="F233" i="64"/>
  <c r="A225" i="64"/>
  <c r="A226" i="64"/>
  <c r="A227" i="64"/>
  <c r="A229" i="64"/>
  <c r="A230" i="64"/>
  <c r="A231" i="64"/>
  <c r="A232" i="64"/>
  <c r="A233" i="64"/>
  <c r="F235" i="64"/>
  <c r="A235" i="64"/>
  <c r="F242" i="64"/>
  <c r="A238" i="64"/>
  <c r="F240" i="64"/>
  <c r="A239" i="64"/>
  <c r="A240" i="64"/>
  <c r="F241" i="64"/>
  <c r="A241" i="64"/>
  <c r="A242" i="64"/>
  <c r="F243" i="64"/>
  <c r="A243" i="64"/>
  <c r="A246" i="64"/>
  <c r="A247" i="64"/>
  <c r="A390" i="64" s="1"/>
  <c r="F249" i="64"/>
  <c r="A249" i="64"/>
  <c r="F260" i="64"/>
  <c r="F252" i="64"/>
  <c r="F267" i="64"/>
  <c r="F254" i="64"/>
  <c r="A252" i="64"/>
  <c r="F256" i="64"/>
  <c r="F255" i="64"/>
  <c r="A253" i="64"/>
  <c r="A254" i="64"/>
  <c r="A255" i="64"/>
  <c r="B10" i="55"/>
  <c r="B16" i="55"/>
  <c r="A256" i="64"/>
  <c r="A260" i="64"/>
  <c r="F262" i="64"/>
  <c r="A261" i="64"/>
  <c r="A262" i="64"/>
  <c r="F264" i="64"/>
  <c r="A263" i="64"/>
  <c r="F265" i="64"/>
  <c r="A264" i="64"/>
  <c r="A265" i="64"/>
  <c r="B11" i="55"/>
  <c r="A267" i="64"/>
  <c r="F269" i="64"/>
  <c r="A269" i="64"/>
  <c r="F273" i="64"/>
  <c r="A272" i="64"/>
  <c r="F275" i="64"/>
  <c r="A275" i="64"/>
  <c r="A273" i="64"/>
  <c r="X44" i="55"/>
  <c r="X45" i="55"/>
  <c r="X52" i="55"/>
  <c r="X53" i="55"/>
  <c r="X60" i="55"/>
  <c r="X61" i="55"/>
  <c r="X68" i="55"/>
  <c r="X69" i="55"/>
  <c r="X71" i="72"/>
  <c r="X72" i="72"/>
  <c r="X75" i="72"/>
  <c r="X76" i="72"/>
  <c r="X81" i="72"/>
  <c r="X82" i="72"/>
  <c r="X107" i="72"/>
  <c r="X108" i="72"/>
  <c r="X91" i="72"/>
  <c r="X92" i="72"/>
  <c r="X101" i="72"/>
  <c r="X102" i="72"/>
  <c r="X111" i="72"/>
  <c r="X112" i="72"/>
  <c r="X131" i="72"/>
  <c r="X132" i="72"/>
  <c r="X123" i="72"/>
  <c r="X124" i="72"/>
  <c r="X53" i="72"/>
  <c r="X54" i="72"/>
  <c r="X61" i="72"/>
  <c r="X62" i="72"/>
  <c r="AV51" i="72"/>
  <c r="AV52" i="72"/>
  <c r="AV75" i="72"/>
  <c r="AV76" i="72"/>
  <c r="CB49" i="72"/>
  <c r="CB50" i="72"/>
  <c r="CC50" i="72"/>
  <c r="CA51" i="72"/>
  <c r="CB85" i="72"/>
  <c r="CB86" i="72"/>
  <c r="CB87" i="72"/>
  <c r="CB88" i="72"/>
  <c r="CB111" i="72"/>
  <c r="CB112" i="72"/>
  <c r="AF69" i="72"/>
  <c r="AF70" i="72"/>
  <c r="BL63" i="72"/>
  <c r="BL64" i="72"/>
  <c r="X40" i="55"/>
  <c r="X41" i="55"/>
  <c r="X48" i="55"/>
  <c r="X49" i="55"/>
  <c r="X56" i="55"/>
  <c r="X57" i="55"/>
  <c r="X64" i="55"/>
  <c r="X65" i="55"/>
  <c r="AK47" i="72"/>
  <c r="DU60" i="72"/>
  <c r="X67" i="72"/>
  <c r="X68" i="72"/>
  <c r="X85" i="72"/>
  <c r="X86" i="72"/>
  <c r="X87" i="72"/>
  <c r="X88" i="72"/>
  <c r="X99" i="72"/>
  <c r="X100" i="72"/>
  <c r="X95" i="72"/>
  <c r="X96" i="72"/>
  <c r="X109" i="72"/>
  <c r="X110" i="72"/>
  <c r="X117" i="72"/>
  <c r="X118" i="72"/>
  <c r="X127" i="72"/>
  <c r="X128" i="72"/>
  <c r="X55" i="72"/>
  <c r="X56" i="72"/>
  <c r="AV59" i="72"/>
  <c r="AV60" i="72"/>
  <c r="AV65" i="72"/>
  <c r="AV66" i="72"/>
  <c r="CB63" i="72"/>
  <c r="CB64" i="72"/>
  <c r="CB69" i="72"/>
  <c r="CB70" i="72"/>
  <c r="CB105" i="72"/>
  <c r="CB106" i="72"/>
  <c r="CB95" i="72"/>
  <c r="CB96" i="72"/>
  <c r="CB125" i="72"/>
  <c r="CB126" i="72"/>
  <c r="AF111" i="72"/>
  <c r="AF112" i="72"/>
  <c r="AF103" i="72"/>
  <c r="AF104" i="72"/>
  <c r="X42" i="55"/>
  <c r="X43" i="55"/>
  <c r="X50" i="55"/>
  <c r="X51" i="55"/>
  <c r="X58" i="55"/>
  <c r="X59" i="55"/>
  <c r="X66" i="55"/>
  <c r="X67" i="55"/>
  <c r="B78" i="68"/>
  <c r="AK48" i="72"/>
  <c r="AI49" i="72"/>
  <c r="DU65" i="72"/>
  <c r="DU66" i="72"/>
  <c r="DU67" i="72"/>
  <c r="DU68" i="72"/>
  <c r="DU69" i="72"/>
  <c r="DU70" i="72"/>
  <c r="DU71" i="72"/>
  <c r="DU72" i="72"/>
  <c r="DU73" i="72"/>
  <c r="DU74" i="72"/>
  <c r="DU75" i="72"/>
  <c r="DU76" i="72"/>
  <c r="X63" i="72"/>
  <c r="X64" i="72"/>
  <c r="X65" i="72"/>
  <c r="X66" i="72"/>
  <c r="X73" i="72"/>
  <c r="X74" i="72"/>
  <c r="X83" i="72"/>
  <c r="X84" i="72"/>
  <c r="X103" i="72"/>
  <c r="X104" i="72"/>
  <c r="X89" i="72"/>
  <c r="X90" i="72"/>
  <c r="X97" i="72"/>
  <c r="X98" i="72"/>
  <c r="X113" i="72"/>
  <c r="X114" i="72"/>
  <c r="X121" i="72"/>
  <c r="X122" i="72"/>
  <c r="X129" i="72"/>
  <c r="X130" i="72"/>
  <c r="X47" i="72"/>
  <c r="X48" i="72"/>
  <c r="X49" i="72"/>
  <c r="X50" i="72"/>
  <c r="AV53" i="72"/>
  <c r="AV54" i="72"/>
  <c r="AV71" i="72"/>
  <c r="AV72" i="72"/>
  <c r="CB51" i="72"/>
  <c r="CB52" i="72"/>
  <c r="CB73" i="72"/>
  <c r="CB74" i="72"/>
  <c r="CB99" i="72"/>
  <c r="CB100" i="72"/>
  <c r="CB101" i="72"/>
  <c r="CB102" i="72"/>
  <c r="AF65" i="72"/>
  <c r="AF66" i="72"/>
  <c r="E53" i="69"/>
  <c r="D12" i="69"/>
  <c r="AV47" i="72"/>
  <c r="AV48" i="72"/>
  <c r="AV63" i="72"/>
  <c r="AV64" i="72"/>
  <c r="AV67" i="72"/>
  <c r="AV68" i="72"/>
  <c r="AV73" i="72"/>
  <c r="AV74" i="72"/>
  <c r="CB57" i="72"/>
  <c r="CB58" i="72"/>
  <c r="CB61" i="72"/>
  <c r="CB62" i="72"/>
  <c r="CB71" i="72"/>
  <c r="CB72" i="72"/>
  <c r="CB77" i="72"/>
  <c r="CB78" i="72"/>
  <c r="CB79" i="72"/>
  <c r="CB80" i="72"/>
  <c r="CB107" i="72"/>
  <c r="CB108" i="72"/>
  <c r="CB93" i="72"/>
  <c r="CB94" i="72"/>
  <c r="CB113" i="72"/>
  <c r="CB114" i="72"/>
  <c r="CB129" i="72"/>
  <c r="CB130" i="72"/>
  <c r="AF63" i="72"/>
  <c r="AF64" i="72"/>
  <c r="AF71" i="72"/>
  <c r="AF72" i="72"/>
  <c r="AF99" i="72"/>
  <c r="AF100" i="72"/>
  <c r="AF105" i="72"/>
  <c r="AF106" i="72"/>
  <c r="BL59" i="72"/>
  <c r="BL60" i="72"/>
  <c r="BL69" i="72"/>
  <c r="BL70" i="72"/>
  <c r="E33" i="70"/>
  <c r="AF47" i="72"/>
  <c r="AF48" i="72"/>
  <c r="AF61" i="72"/>
  <c r="AF62" i="72"/>
  <c r="AF81" i="72"/>
  <c r="AF82" i="72"/>
  <c r="AF91" i="72"/>
  <c r="AF92" i="72"/>
  <c r="BL67" i="72"/>
  <c r="BL68" i="72"/>
  <c r="AV49" i="72"/>
  <c r="AV50" i="72"/>
  <c r="AV57" i="72"/>
  <c r="AV58" i="72"/>
  <c r="AV61" i="72"/>
  <c r="AV62" i="72"/>
  <c r="AV69" i="72"/>
  <c r="AV70" i="72"/>
  <c r="CB53" i="72"/>
  <c r="CB54" i="72"/>
  <c r="CB55" i="72"/>
  <c r="CB56" i="72"/>
  <c r="CB65" i="72"/>
  <c r="CB66" i="72"/>
  <c r="CB75" i="72"/>
  <c r="CB76" i="72"/>
  <c r="CB81" i="72"/>
  <c r="CB82" i="72"/>
  <c r="CB103" i="72"/>
  <c r="CB104" i="72"/>
  <c r="CB91" i="72"/>
  <c r="CB92" i="72"/>
  <c r="CB109" i="72"/>
  <c r="CB110" i="72"/>
  <c r="CB117" i="72"/>
  <c r="CB118" i="72"/>
  <c r="AF59" i="72"/>
  <c r="AF60" i="72"/>
  <c r="AF67" i="72"/>
  <c r="AF68" i="72"/>
  <c r="AF87" i="72"/>
  <c r="AF88" i="72"/>
  <c r="AF93" i="72"/>
  <c r="AF94" i="72"/>
  <c r="BL47" i="72"/>
  <c r="BL48" i="72"/>
  <c r="BL61" i="72"/>
  <c r="BL62" i="72"/>
  <c r="AR123" i="72"/>
  <c r="AR124" i="72"/>
  <c r="AR117" i="72"/>
  <c r="AR118" i="72"/>
  <c r="AR111" i="72"/>
  <c r="AR112" i="72"/>
  <c r="AR95" i="72"/>
  <c r="AR96" i="72"/>
  <c r="AR103" i="72"/>
  <c r="AR104" i="72"/>
  <c r="AR77" i="72"/>
  <c r="AR78" i="72"/>
  <c r="AR83" i="72"/>
  <c r="AR84" i="72"/>
  <c r="AR65" i="72"/>
  <c r="AR66" i="72"/>
  <c r="AR55" i="72"/>
  <c r="AR56" i="72"/>
  <c r="AR53" i="72"/>
  <c r="AR54" i="72"/>
  <c r="AR131" i="72"/>
  <c r="AR132" i="72"/>
  <c r="AR125" i="72"/>
  <c r="AR126" i="72"/>
  <c r="AR109" i="72"/>
  <c r="AR110" i="72"/>
  <c r="AR107" i="72"/>
  <c r="AR108" i="72"/>
  <c r="AR93" i="72"/>
  <c r="AR94" i="72"/>
  <c r="AR105" i="72"/>
  <c r="AR106" i="72"/>
  <c r="AR87" i="72"/>
  <c r="AR88" i="72"/>
  <c r="AR75" i="72"/>
  <c r="AR76" i="72"/>
  <c r="AR67" i="72"/>
  <c r="AR68" i="72"/>
  <c r="AR49" i="72"/>
  <c r="AR50" i="72"/>
  <c r="AR51" i="72"/>
  <c r="AR52" i="72"/>
  <c r="AR129" i="72"/>
  <c r="AR130" i="72"/>
  <c r="AR121" i="72"/>
  <c r="AR122" i="72"/>
  <c r="AR113" i="72"/>
  <c r="AR114" i="72"/>
  <c r="AR99" i="72"/>
  <c r="AR100" i="72"/>
  <c r="AR91" i="72"/>
  <c r="AR92" i="72"/>
  <c r="AR101" i="72"/>
  <c r="AR102" i="72"/>
  <c r="AR79" i="72"/>
  <c r="AR80" i="72"/>
  <c r="AR73" i="72"/>
  <c r="AR74" i="72"/>
  <c r="AR69" i="72"/>
  <c r="AR70" i="72"/>
  <c r="AR63" i="72"/>
  <c r="AR64" i="72"/>
  <c r="AR59" i="72"/>
  <c r="AR60" i="72"/>
  <c r="AR127" i="72"/>
  <c r="AR128" i="72"/>
  <c r="AR119" i="72"/>
  <c r="AR120" i="72"/>
  <c r="AR115" i="72"/>
  <c r="AR116" i="72"/>
  <c r="AR97" i="72"/>
  <c r="AR98" i="72"/>
  <c r="AR89" i="72"/>
  <c r="AR90" i="72"/>
  <c r="AR85" i="72"/>
  <c r="AR86" i="72"/>
  <c r="AR81" i="72"/>
  <c r="AR82" i="72"/>
  <c r="AR71" i="72"/>
  <c r="AR72" i="72"/>
  <c r="AR61" i="72"/>
  <c r="AR62" i="72"/>
  <c r="AR57" i="72"/>
  <c r="AR58" i="72"/>
  <c r="AR47" i="72"/>
  <c r="AR48" i="72"/>
  <c r="AQ47" i="72"/>
  <c r="AQ48" i="72"/>
  <c r="CF49" i="72"/>
  <c r="CF50" i="72"/>
  <c r="CG50" i="72"/>
  <c r="CE51" i="72"/>
  <c r="CF83" i="72"/>
  <c r="CF84" i="72"/>
  <c r="CF87" i="72"/>
  <c r="CF88" i="72"/>
  <c r="CF111" i="72"/>
  <c r="CF112" i="72"/>
  <c r="CF123" i="72"/>
  <c r="CF124" i="72"/>
  <c r="BP63" i="72"/>
  <c r="BP64" i="72"/>
  <c r="BP69" i="72"/>
  <c r="BP70" i="72"/>
  <c r="AZ63" i="72"/>
  <c r="AZ64" i="72"/>
  <c r="AZ69" i="72"/>
  <c r="AZ70" i="72"/>
  <c r="CF59" i="72"/>
  <c r="CF60" i="72"/>
  <c r="CF81" i="72"/>
  <c r="CF82" i="72"/>
  <c r="CF89" i="72"/>
  <c r="CF90" i="72"/>
  <c r="CF115" i="72"/>
  <c r="CF116" i="72"/>
  <c r="CF127" i="72"/>
  <c r="CF128" i="72"/>
  <c r="BP55" i="72"/>
  <c r="BP56" i="72"/>
  <c r="BP73" i="72"/>
  <c r="BP74" i="72"/>
  <c r="AZ55" i="72"/>
  <c r="AZ56" i="72"/>
  <c r="AZ73" i="72"/>
  <c r="AZ74" i="72"/>
  <c r="AZ43" i="72"/>
  <c r="AZ44" i="72"/>
  <c r="CF61" i="72"/>
  <c r="CF62" i="72"/>
  <c r="CF63" i="72"/>
  <c r="CF64" i="72"/>
  <c r="CF103" i="72"/>
  <c r="CF104" i="72"/>
  <c r="CF97" i="72"/>
  <c r="CF98" i="72"/>
  <c r="CF121" i="72"/>
  <c r="CF122" i="72"/>
  <c r="BP47" i="72"/>
  <c r="BP48" i="72"/>
  <c r="BP59" i="72"/>
  <c r="BP60" i="72"/>
  <c r="AZ47" i="72"/>
  <c r="AZ48" i="72"/>
  <c r="AZ65" i="72"/>
  <c r="AZ66" i="72"/>
  <c r="DF55" i="72"/>
  <c r="DE56" i="72"/>
  <c r="DF56" i="72"/>
  <c r="DD57" i="72"/>
  <c r="DD58" i="72"/>
  <c r="DF58" i="72"/>
  <c r="DD59" i="72"/>
  <c r="E61" i="65"/>
  <c r="E17" i="65"/>
  <c r="K25" i="55"/>
  <c r="C390" i="64"/>
  <c r="G388" i="64"/>
  <c r="A16" i="64"/>
  <c r="A56" i="65" s="1"/>
  <c r="AN57" i="72"/>
  <c r="AN58" i="72"/>
  <c r="BH55" i="72"/>
  <c r="BH56" i="72"/>
  <c r="BX63" i="72"/>
  <c r="BX64" i="72"/>
  <c r="BH57" i="72"/>
  <c r="BH58" i="72"/>
  <c r="BX59" i="72"/>
  <c r="BX60" i="72"/>
  <c r="H53" i="72"/>
  <c r="H54" i="72"/>
  <c r="AN61" i="72"/>
  <c r="AN62" i="72"/>
  <c r="BH47" i="72"/>
  <c r="BH48" i="72"/>
  <c r="BX69" i="72"/>
  <c r="BX70" i="72"/>
  <c r="BX77" i="72"/>
  <c r="BX78" i="72"/>
  <c r="BX85" i="72"/>
  <c r="BX86" i="72"/>
  <c r="BX105" i="72"/>
  <c r="BX106" i="72"/>
  <c r="BX91" i="72"/>
  <c r="BX92" i="72"/>
  <c r="BX103" i="72"/>
  <c r="BX104" i="72"/>
  <c r="BX109" i="72"/>
  <c r="BX110" i="72"/>
  <c r="BX121" i="72"/>
  <c r="BX122" i="72"/>
  <c r="BX129" i="72"/>
  <c r="BX130" i="72"/>
  <c r="BH65" i="72"/>
  <c r="BH66" i="72"/>
  <c r="AN49" i="72"/>
  <c r="AN50" i="72"/>
  <c r="AN69" i="72"/>
  <c r="AN70" i="72"/>
  <c r="AN77" i="72"/>
  <c r="AN78" i="72"/>
  <c r="AN79" i="72"/>
  <c r="AN80" i="72"/>
  <c r="AN105" i="72"/>
  <c r="AN106" i="72"/>
  <c r="AN93" i="72"/>
  <c r="AN94" i="72"/>
  <c r="AN113" i="72"/>
  <c r="AN114" i="72"/>
  <c r="AN119" i="72"/>
  <c r="AN120" i="72"/>
  <c r="AN125" i="72"/>
  <c r="AN126" i="72"/>
  <c r="H65" i="72"/>
  <c r="H66" i="72"/>
  <c r="H73" i="72"/>
  <c r="H74" i="72"/>
  <c r="H83" i="72"/>
  <c r="H84" i="72"/>
  <c r="H105" i="72"/>
  <c r="H106" i="72"/>
  <c r="H89" i="72"/>
  <c r="H90" i="72"/>
  <c r="H97" i="72"/>
  <c r="H98" i="72"/>
  <c r="H117" i="72"/>
  <c r="H118" i="72"/>
  <c r="H123" i="72"/>
  <c r="H124" i="72"/>
  <c r="H129" i="72"/>
  <c r="H130" i="72"/>
  <c r="F172" i="64"/>
  <c r="B60" i="68"/>
  <c r="BU47" i="72"/>
  <c r="H63" i="72"/>
  <c r="H64" i="72"/>
  <c r="AN53" i="72"/>
  <c r="AN54" i="72"/>
  <c r="BH63" i="72"/>
  <c r="BH64" i="72"/>
  <c r="AN59" i="72"/>
  <c r="AN60" i="72"/>
  <c r="AN51" i="72"/>
  <c r="AN52" i="72"/>
  <c r="BH59" i="72"/>
  <c r="BH60" i="72"/>
  <c r="H55" i="72"/>
  <c r="H56" i="72"/>
  <c r="H47" i="72"/>
  <c r="H48" i="72"/>
  <c r="BX67" i="72"/>
  <c r="BX68" i="72"/>
  <c r="BX73" i="72"/>
  <c r="BX74" i="72"/>
  <c r="BX83" i="72"/>
  <c r="BX84" i="72"/>
  <c r="BX99" i="72"/>
  <c r="BX100" i="72"/>
  <c r="BX93" i="72"/>
  <c r="BX94" i="72"/>
  <c r="BX111" i="72"/>
  <c r="BX112" i="72"/>
  <c r="BX113" i="72"/>
  <c r="BX114" i="72"/>
  <c r="BX123" i="72"/>
  <c r="BX124" i="72"/>
  <c r="BX125" i="72"/>
  <c r="BX126" i="72"/>
  <c r="BH71" i="72"/>
  <c r="BH72" i="72"/>
  <c r="AN67" i="72"/>
  <c r="AN68" i="72"/>
  <c r="AN85" i="72"/>
  <c r="AN86" i="72"/>
  <c r="AN87" i="72"/>
  <c r="AN88" i="72"/>
  <c r="AN107" i="72"/>
  <c r="AN108" i="72"/>
  <c r="AN95" i="72"/>
  <c r="AN96" i="72"/>
  <c r="AN115" i="72"/>
  <c r="AN116" i="72"/>
  <c r="AN117" i="72"/>
  <c r="AN118" i="72"/>
  <c r="AN123" i="72"/>
  <c r="AN124" i="72"/>
  <c r="H71" i="72"/>
  <c r="H72" i="72"/>
  <c r="H75" i="72"/>
  <c r="H76" i="72"/>
  <c r="H81" i="72"/>
  <c r="H82" i="72"/>
  <c r="H107" i="72"/>
  <c r="H108" i="72"/>
  <c r="H91" i="72"/>
  <c r="H92" i="72"/>
  <c r="H101" i="72"/>
  <c r="H102" i="72"/>
  <c r="H113" i="72"/>
  <c r="H114" i="72"/>
  <c r="H121" i="72"/>
  <c r="H122" i="72"/>
  <c r="H131" i="72"/>
  <c r="H132" i="72"/>
  <c r="E8" i="65"/>
  <c r="K26" i="55"/>
  <c r="F374" i="64"/>
  <c r="T44" i="55"/>
  <c r="T45" i="55"/>
  <c r="D70" i="55"/>
  <c r="D71" i="55"/>
  <c r="E71" i="55"/>
  <c r="B56" i="68"/>
  <c r="BX61" i="72"/>
  <c r="BX62" i="72"/>
  <c r="H57" i="72"/>
  <c r="H58" i="72"/>
  <c r="H59" i="72"/>
  <c r="H60" i="72"/>
  <c r="H61" i="72"/>
  <c r="H62" i="72"/>
  <c r="AN47" i="72"/>
  <c r="BX65" i="72"/>
  <c r="BX66" i="72"/>
  <c r="BX75" i="72"/>
  <c r="BX76" i="72"/>
  <c r="BX81" i="72"/>
  <c r="BX82" i="72"/>
  <c r="BX87" i="72"/>
  <c r="BX88" i="72"/>
  <c r="BX95" i="72"/>
  <c r="BX96" i="72"/>
  <c r="BX115" i="72"/>
  <c r="BX116" i="72"/>
  <c r="BX119" i="72"/>
  <c r="BX120" i="72"/>
  <c r="BX131" i="72"/>
  <c r="BX132" i="72"/>
  <c r="BH69" i="72"/>
  <c r="BH70" i="72"/>
  <c r="BH73" i="72"/>
  <c r="BH74" i="72"/>
  <c r="H49" i="72"/>
  <c r="H50" i="72"/>
  <c r="AN65" i="72"/>
  <c r="AN66" i="72"/>
  <c r="AN73" i="72"/>
  <c r="AN74" i="72"/>
  <c r="AN83" i="72"/>
  <c r="AN84" i="72"/>
  <c r="AN99" i="72"/>
  <c r="AN100" i="72"/>
  <c r="AN89" i="72"/>
  <c r="AN90" i="72"/>
  <c r="AN97" i="72"/>
  <c r="AN98" i="72"/>
  <c r="AN109" i="72"/>
  <c r="AN110" i="72"/>
  <c r="AN121" i="72"/>
  <c r="AN122" i="72"/>
  <c r="H69" i="72"/>
  <c r="H70" i="72"/>
  <c r="H77" i="72"/>
  <c r="H78" i="72"/>
  <c r="H79" i="72"/>
  <c r="H80" i="72"/>
  <c r="H99" i="72"/>
  <c r="H100" i="72"/>
  <c r="H93" i="72"/>
  <c r="H94" i="72"/>
  <c r="H109" i="72"/>
  <c r="H110" i="72"/>
  <c r="H111" i="72"/>
  <c r="H112" i="72"/>
  <c r="H127" i="72"/>
  <c r="H128" i="72"/>
  <c r="D42" i="55"/>
  <c r="D43" i="55"/>
  <c r="D58" i="55"/>
  <c r="D59" i="55"/>
  <c r="L48" i="55"/>
  <c r="L49" i="55"/>
  <c r="L40" i="55"/>
  <c r="L41" i="55"/>
  <c r="F32" i="68"/>
  <c r="G32" i="68"/>
  <c r="H32" i="68"/>
  <c r="AF46" i="55"/>
  <c r="AF47" i="55"/>
  <c r="L56" i="55"/>
  <c r="L57" i="55"/>
  <c r="D32" i="55"/>
  <c r="E32" i="55"/>
  <c r="F32" i="55"/>
  <c r="AM32" i="55" s="1"/>
  <c r="AO32" i="55" s="1"/>
  <c r="AO74" i="55" s="1"/>
  <c r="D62" i="55"/>
  <c r="D63" i="55"/>
  <c r="D50" i="55"/>
  <c r="D51" i="55"/>
  <c r="F87" i="68"/>
  <c r="I31" i="54"/>
  <c r="I41" i="54" s="1"/>
  <c r="I42" i="54" s="1"/>
  <c r="CB127" i="72"/>
  <c r="CB128" i="72"/>
  <c r="CB123" i="72"/>
  <c r="CB124" i="72"/>
  <c r="BL45" i="72"/>
  <c r="AV45" i="72"/>
  <c r="AV46" i="72"/>
  <c r="CF57" i="72"/>
  <c r="CF58" i="72"/>
  <c r="CF51" i="72"/>
  <c r="CF52" i="72"/>
  <c r="CF71" i="72"/>
  <c r="CF72" i="72"/>
  <c r="CF75" i="72"/>
  <c r="CF76" i="72"/>
  <c r="CF77" i="72"/>
  <c r="CF78" i="72"/>
  <c r="CF101" i="72"/>
  <c r="CF102" i="72"/>
  <c r="CF93" i="72"/>
  <c r="CF94" i="72"/>
  <c r="CF107" i="72"/>
  <c r="CF108" i="72"/>
  <c r="CF109" i="72"/>
  <c r="CF110" i="72"/>
  <c r="CF125" i="72"/>
  <c r="CF126" i="72"/>
  <c r="CF131" i="72"/>
  <c r="CF132" i="72"/>
  <c r="BP57" i="72"/>
  <c r="BP58" i="72"/>
  <c r="BP51" i="72"/>
  <c r="BP52" i="72"/>
  <c r="BP71" i="72"/>
  <c r="BP72" i="72"/>
  <c r="AZ41" i="72"/>
  <c r="AZ57" i="72"/>
  <c r="AZ58" i="72"/>
  <c r="AZ51" i="72"/>
  <c r="AZ52" i="72"/>
  <c r="AZ71" i="72"/>
  <c r="AZ72" i="72"/>
  <c r="AF49" i="72"/>
  <c r="AF50" i="72"/>
  <c r="AF57" i="72"/>
  <c r="AF58" i="72"/>
  <c r="AF55" i="72"/>
  <c r="AF56" i="72"/>
  <c r="AF77" i="72"/>
  <c r="AF78" i="72"/>
  <c r="AF75" i="72"/>
  <c r="AF76" i="72"/>
  <c r="AF83" i="72"/>
  <c r="AF84" i="72"/>
  <c r="AF89" i="72"/>
  <c r="AF90" i="72"/>
  <c r="AF97" i="72"/>
  <c r="AF98" i="72"/>
  <c r="BL49" i="72"/>
  <c r="BL50" i="72"/>
  <c r="BL57" i="72"/>
  <c r="BL58" i="72"/>
  <c r="BL55" i="72"/>
  <c r="BL56" i="72"/>
  <c r="BL71" i="72"/>
  <c r="BL72" i="72"/>
  <c r="T66" i="55"/>
  <c r="T67" i="55"/>
  <c r="T56" i="55"/>
  <c r="T57" i="55"/>
  <c r="T40" i="55"/>
  <c r="T41" i="55"/>
  <c r="T64" i="55"/>
  <c r="T65" i="55"/>
  <c r="T50" i="55"/>
  <c r="T51" i="55"/>
  <c r="D68" i="55"/>
  <c r="D69" i="55"/>
  <c r="D40" i="55"/>
  <c r="D41" i="55"/>
  <c r="I21" i="54"/>
  <c r="I22" i="54"/>
  <c r="CB97" i="72"/>
  <c r="CB98" i="72"/>
  <c r="CB115" i="72"/>
  <c r="CB116" i="72"/>
  <c r="CB121" i="72"/>
  <c r="CB122" i="72"/>
  <c r="BP45" i="72"/>
  <c r="CF53" i="72"/>
  <c r="CF54" i="72"/>
  <c r="CF65" i="72"/>
  <c r="CF66" i="72"/>
  <c r="CF67" i="72"/>
  <c r="CF68" i="72"/>
  <c r="CF73" i="72"/>
  <c r="CF74" i="72"/>
  <c r="CF79" i="72"/>
  <c r="CF80" i="72"/>
  <c r="CF105" i="72"/>
  <c r="CF106" i="72"/>
  <c r="CF91" i="72"/>
  <c r="CF92" i="72"/>
  <c r="CF99" i="72"/>
  <c r="CF100" i="72"/>
  <c r="CF113" i="72"/>
  <c r="CF114" i="72"/>
  <c r="CF119" i="72"/>
  <c r="CF120" i="72"/>
  <c r="BP53" i="72"/>
  <c r="BP54" i="72"/>
  <c r="BP61" i="72"/>
  <c r="BP62" i="72"/>
  <c r="BP67" i="72"/>
  <c r="BP68" i="72"/>
  <c r="AZ53" i="72"/>
  <c r="AZ54" i="72"/>
  <c r="AZ61" i="72"/>
  <c r="AZ62" i="72"/>
  <c r="AZ67" i="72"/>
  <c r="AZ68" i="72"/>
  <c r="AZ75" i="72"/>
  <c r="AZ76" i="72"/>
  <c r="AF53" i="72"/>
  <c r="AF54" i="72"/>
  <c r="AF51" i="72"/>
  <c r="AF52" i="72"/>
  <c r="AF79" i="72"/>
  <c r="AF80" i="72"/>
  <c r="AF73" i="72"/>
  <c r="AF74" i="72"/>
  <c r="AF85" i="72"/>
  <c r="AF86" i="72"/>
  <c r="AF101" i="72"/>
  <c r="AF102" i="72"/>
  <c r="BL53" i="72"/>
  <c r="BL54" i="72"/>
  <c r="BL51" i="72"/>
  <c r="BL52" i="72"/>
  <c r="BL65" i="72"/>
  <c r="BL66" i="72"/>
  <c r="DY59" i="72"/>
  <c r="A17" i="64"/>
  <c r="F21" i="48"/>
  <c r="F18" i="64" s="1"/>
  <c r="A21" i="48"/>
  <c r="C19" i="68"/>
  <c r="C78" i="68"/>
  <c r="L70" i="55"/>
  <c r="L71" i="55"/>
  <c r="L62" i="55"/>
  <c r="L63" i="55"/>
  <c r="L66" i="55"/>
  <c r="L67" i="55"/>
  <c r="L44" i="55"/>
  <c r="L45" i="55"/>
  <c r="L36" i="55"/>
  <c r="L37" i="55"/>
  <c r="L52" i="55"/>
  <c r="L53" i="55"/>
  <c r="CG49" i="72"/>
  <c r="T70" i="55"/>
  <c r="T71" i="55"/>
  <c r="AJ62" i="55"/>
  <c r="AJ63" i="55"/>
  <c r="T68" i="55"/>
  <c r="T69" i="55"/>
  <c r="AF64" i="55"/>
  <c r="AF65" i="55"/>
  <c r="AF60" i="55"/>
  <c r="AF61" i="55"/>
  <c r="AF56" i="55"/>
  <c r="AF57" i="55"/>
  <c r="AF50" i="55"/>
  <c r="AF51" i="55"/>
  <c r="T42" i="55"/>
  <c r="T43" i="55"/>
  <c r="H64" i="55"/>
  <c r="H65" i="55"/>
  <c r="H50" i="55"/>
  <c r="H51" i="55"/>
  <c r="AF68" i="55"/>
  <c r="AF69" i="55"/>
  <c r="T62" i="55"/>
  <c r="T63" i="55"/>
  <c r="AF54" i="55"/>
  <c r="AF55" i="55"/>
  <c r="AF48" i="55"/>
  <c r="AF49" i="55"/>
  <c r="AF42" i="55"/>
  <c r="AF43" i="55"/>
  <c r="T36" i="55"/>
  <c r="T37" i="55"/>
  <c r="U37" i="55"/>
  <c r="S38" i="55"/>
  <c r="S39" i="55"/>
  <c r="U39" i="55"/>
  <c r="AF40" i="55"/>
  <c r="AF41" i="55"/>
  <c r="AG41" i="55"/>
  <c r="DE61" i="72"/>
  <c r="DE62" i="72"/>
  <c r="DE63" i="72"/>
  <c r="AB64" i="55"/>
  <c r="AB65" i="55"/>
  <c r="AF70" i="55"/>
  <c r="AF71" i="55"/>
  <c r="AF66" i="55"/>
  <c r="AF67" i="55"/>
  <c r="P62" i="55"/>
  <c r="P63" i="55"/>
  <c r="T60" i="55"/>
  <c r="T61" i="55"/>
  <c r="AF58" i="55"/>
  <c r="AF59" i="55"/>
  <c r="T52" i="55"/>
  <c r="T53" i="55"/>
  <c r="T48" i="55"/>
  <c r="T49" i="55"/>
  <c r="D66" i="55"/>
  <c r="D67" i="55"/>
  <c r="H38" i="55"/>
  <c r="H39" i="55"/>
  <c r="EK59" i="72"/>
  <c r="EK61" i="72"/>
  <c r="EK62" i="72"/>
  <c r="EK63" i="72"/>
  <c r="EK65" i="72"/>
  <c r="EK66" i="72"/>
  <c r="EK67" i="72"/>
  <c r="EK68" i="72"/>
  <c r="EK69" i="72"/>
  <c r="EK70" i="72"/>
  <c r="EK71" i="72"/>
  <c r="EK72" i="72"/>
  <c r="EK73" i="72"/>
  <c r="EK74" i="72"/>
  <c r="EK75" i="72"/>
  <c r="EK76" i="72"/>
  <c r="E179" i="65"/>
  <c r="DQ59" i="72"/>
  <c r="DQ61" i="72"/>
  <c r="DQ62" i="72"/>
  <c r="DQ63" i="72"/>
  <c r="DQ64" i="72"/>
  <c r="AJ58" i="55"/>
  <c r="AJ59" i="55"/>
  <c r="T54" i="55"/>
  <c r="T55" i="55"/>
  <c r="AF52" i="55"/>
  <c r="AF53" i="55"/>
  <c r="AJ50" i="55"/>
  <c r="AJ51" i="55"/>
  <c r="T46" i="55"/>
  <c r="T47" i="55"/>
  <c r="AJ42" i="55"/>
  <c r="AJ43" i="55"/>
  <c r="L68" i="55"/>
  <c r="L69" i="55"/>
  <c r="L64" i="55"/>
  <c r="L65" i="55"/>
  <c r="L60" i="55"/>
  <c r="L61" i="55"/>
  <c r="H52" i="55"/>
  <c r="H53" i="55"/>
  <c r="H48" i="55"/>
  <c r="H49" i="55"/>
  <c r="L38" i="55"/>
  <c r="L39" i="55"/>
  <c r="L34" i="55"/>
  <c r="H46" i="55"/>
  <c r="H47" i="55"/>
  <c r="H40" i="55"/>
  <c r="H41" i="55"/>
  <c r="AI26" i="55"/>
  <c r="AJ66" i="55"/>
  <c r="AJ67" i="55"/>
  <c r="AB58" i="55"/>
  <c r="AB59" i="55"/>
  <c r="AB50" i="55"/>
  <c r="AB51" i="55"/>
  <c r="AB42" i="55"/>
  <c r="AB43" i="55"/>
  <c r="H68" i="55"/>
  <c r="H69" i="55"/>
  <c r="H60" i="55"/>
  <c r="H61" i="55"/>
  <c r="H58" i="55"/>
  <c r="H59" i="55"/>
  <c r="H44" i="55"/>
  <c r="H45" i="55"/>
  <c r="H42" i="55"/>
  <c r="H43" i="55"/>
  <c r="E61" i="70"/>
  <c r="F53" i="69"/>
  <c r="E12" i="69"/>
  <c r="DQ60" i="72"/>
  <c r="AJ70" i="55"/>
  <c r="AJ71" i="55"/>
  <c r="AJ68" i="55"/>
  <c r="AJ69" i="55"/>
  <c r="AJ64" i="55"/>
  <c r="AJ65" i="55"/>
  <c r="AJ60" i="55"/>
  <c r="AJ61" i="55"/>
  <c r="AJ56" i="55"/>
  <c r="AJ57" i="55"/>
  <c r="AJ54" i="55"/>
  <c r="AJ55" i="55"/>
  <c r="AJ52" i="55"/>
  <c r="AJ53" i="55"/>
  <c r="AJ48" i="55"/>
  <c r="AJ49" i="55"/>
  <c r="AJ46" i="55"/>
  <c r="AJ47" i="55"/>
  <c r="AJ44" i="55"/>
  <c r="AJ45" i="55"/>
  <c r="D64" i="55"/>
  <c r="D65" i="55"/>
  <c r="H56" i="55"/>
  <c r="H57" i="55"/>
  <c r="H54" i="55"/>
  <c r="H55" i="55"/>
  <c r="H34" i="55"/>
  <c r="H35" i="55"/>
  <c r="DI57" i="72"/>
  <c r="DI58" i="72"/>
  <c r="EC59" i="72"/>
  <c r="EC61" i="72"/>
  <c r="EC62" i="72"/>
  <c r="EC63" i="72"/>
  <c r="EC64" i="72"/>
  <c r="E208" i="65"/>
  <c r="E390" i="64"/>
  <c r="C26" i="55"/>
  <c r="D33" i="55"/>
  <c r="E33" i="55"/>
  <c r="W25" i="55"/>
  <c r="D13" i="69"/>
  <c r="D16" i="69"/>
  <c r="P40" i="55"/>
  <c r="P41" i="55"/>
  <c r="P44" i="55"/>
  <c r="P45" i="55"/>
  <c r="P48" i="55"/>
  <c r="P49" i="55"/>
  <c r="P52" i="55"/>
  <c r="P53" i="55"/>
  <c r="P56" i="55"/>
  <c r="P57" i="55"/>
  <c r="AB68" i="55"/>
  <c r="AB69" i="55"/>
  <c r="P66" i="55"/>
  <c r="P67" i="55"/>
  <c r="AB66" i="55"/>
  <c r="AB67" i="55"/>
  <c r="P64" i="55"/>
  <c r="P65" i="55"/>
  <c r="AB60" i="55"/>
  <c r="AB61" i="55"/>
  <c r="P58" i="55"/>
  <c r="P59" i="55"/>
  <c r="AB56" i="55"/>
  <c r="AB57" i="55"/>
  <c r="AB48" i="55"/>
  <c r="AB49" i="55"/>
  <c r="G35" i="55"/>
  <c r="I35" i="55"/>
  <c r="G36" i="55"/>
  <c r="G37" i="55"/>
  <c r="I37" i="55"/>
  <c r="F33" i="68"/>
  <c r="W26" i="55"/>
  <c r="G25" i="55"/>
  <c r="P70" i="55"/>
  <c r="P71" i="55"/>
  <c r="AB70" i="55"/>
  <c r="AB71" i="55"/>
  <c r="P68" i="55"/>
  <c r="P69" i="55"/>
  <c r="AB54" i="55"/>
  <c r="AB55" i="55"/>
  <c r="AB46" i="55"/>
  <c r="AB47" i="55"/>
  <c r="AB40" i="55"/>
  <c r="AB41" i="55"/>
  <c r="P38" i="55"/>
  <c r="P39" i="55"/>
  <c r="AU43" i="72"/>
  <c r="AX42" i="72"/>
  <c r="S26" i="55"/>
  <c r="G26" i="55"/>
  <c r="S25" i="55"/>
  <c r="P42" i="55"/>
  <c r="P43" i="55"/>
  <c r="P46" i="55"/>
  <c r="P47" i="55"/>
  <c r="P50" i="55"/>
  <c r="P51" i="55"/>
  <c r="P54" i="55"/>
  <c r="P55" i="55"/>
  <c r="AB62" i="55"/>
  <c r="AB63" i="55"/>
  <c r="AB52" i="55"/>
  <c r="AB53" i="55"/>
  <c r="AB44" i="55"/>
  <c r="AB45" i="55"/>
  <c r="D54" i="55"/>
  <c r="D55" i="55"/>
  <c r="CJ52" i="72"/>
  <c r="CK52" i="72"/>
  <c r="CI53" i="72"/>
  <c r="CI54" i="72"/>
  <c r="CK54" i="72"/>
  <c r="CI55" i="72"/>
  <c r="CK51" i="72"/>
  <c r="D44" i="72"/>
  <c r="E44" i="72"/>
  <c r="C45" i="72"/>
  <c r="E45" i="72"/>
  <c r="E43" i="72"/>
  <c r="Q46" i="72"/>
  <c r="O47" i="72"/>
  <c r="O48" i="72"/>
  <c r="Q48" i="72"/>
  <c r="O49" i="72"/>
  <c r="D53" i="72"/>
  <c r="D54" i="72"/>
  <c r="D51" i="72"/>
  <c r="D52" i="72"/>
  <c r="D71" i="72"/>
  <c r="D72" i="72"/>
  <c r="D73" i="72"/>
  <c r="D74" i="72"/>
  <c r="D83" i="72"/>
  <c r="D84" i="72"/>
  <c r="D101" i="72"/>
  <c r="D102" i="72"/>
  <c r="D95" i="72"/>
  <c r="D96" i="72"/>
  <c r="D109" i="72"/>
  <c r="D110" i="72"/>
  <c r="D113" i="72"/>
  <c r="D114" i="72"/>
  <c r="D123" i="72"/>
  <c r="D124" i="72"/>
  <c r="D127" i="72"/>
  <c r="D128" i="72"/>
  <c r="DQ57" i="72"/>
  <c r="DQ58" i="72"/>
  <c r="EO60" i="72"/>
  <c r="Q45" i="72"/>
  <c r="D63" i="72"/>
  <c r="D64" i="72"/>
  <c r="D65" i="72"/>
  <c r="D66" i="72"/>
  <c r="D67" i="72"/>
  <c r="D68" i="72"/>
  <c r="D75" i="72"/>
  <c r="D76" i="72"/>
  <c r="D85" i="72"/>
  <c r="D86" i="72"/>
  <c r="D105" i="72"/>
  <c r="D106" i="72"/>
  <c r="D93" i="72"/>
  <c r="D94" i="72"/>
  <c r="D111" i="72"/>
  <c r="D112" i="72"/>
  <c r="D117" i="72"/>
  <c r="D118" i="72"/>
  <c r="D129" i="72"/>
  <c r="D130" i="72"/>
  <c r="DQ55" i="72"/>
  <c r="DR55" i="72"/>
  <c r="X39" i="55"/>
  <c r="Y39" i="55"/>
  <c r="Y38" i="55"/>
  <c r="AJ41" i="55"/>
  <c r="AK41" i="55"/>
  <c r="AK40" i="55"/>
  <c r="AL40" i="55"/>
  <c r="A14" i="48"/>
  <c r="A9" i="64"/>
  <c r="F14" i="48"/>
  <c r="F10" i="64" s="1"/>
  <c r="Q36" i="55"/>
  <c r="P37" i="55"/>
  <c r="Q37" i="55"/>
  <c r="O38" i="55"/>
  <c r="AB39" i="55"/>
  <c r="AC39" i="55"/>
  <c r="AC38" i="55"/>
  <c r="AD38" i="55"/>
  <c r="P60" i="55"/>
  <c r="P61" i="55"/>
  <c r="H70" i="55"/>
  <c r="H71" i="55"/>
  <c r="H66" i="55"/>
  <c r="H67" i="55"/>
  <c r="AS47" i="72"/>
  <c r="AS48" i="72"/>
  <c r="AQ49" i="72"/>
  <c r="AQ50" i="72"/>
  <c r="AS50" i="72"/>
  <c r="AQ51" i="72"/>
  <c r="AE45" i="72"/>
  <c r="AE46" i="72"/>
  <c r="EG77" i="72"/>
  <c r="EG78" i="72"/>
  <c r="DM59" i="72"/>
  <c r="G63" i="68"/>
  <c r="H63" i="68"/>
  <c r="G64" i="68"/>
  <c r="H64" i="68"/>
  <c r="F65" i="68"/>
  <c r="D135" i="69"/>
  <c r="H134" i="69"/>
  <c r="F13" i="69"/>
  <c r="H195" i="48"/>
  <c r="I37" i="54"/>
  <c r="I39" i="54"/>
  <c r="E13" i="69"/>
  <c r="D53" i="69"/>
  <c r="BU49" i="72"/>
  <c r="BS50" i="72"/>
  <c r="BU50" i="72"/>
  <c r="BS51" i="72"/>
  <c r="C46" i="72"/>
  <c r="E46" i="72"/>
  <c r="C47" i="72"/>
  <c r="AI50" i="72"/>
  <c r="AK50" i="72"/>
  <c r="AI51" i="72"/>
  <c r="AK49" i="72"/>
  <c r="DE64" i="72"/>
  <c r="DE65" i="72"/>
  <c r="DE66" i="72"/>
  <c r="DE67" i="72"/>
  <c r="DE68" i="72"/>
  <c r="DE69" i="72"/>
  <c r="DE70" i="72"/>
  <c r="DE71" i="72"/>
  <c r="DE72" i="72"/>
  <c r="DE73" i="72"/>
  <c r="DE74" i="72"/>
  <c r="CC51" i="72"/>
  <c r="CA52" i="72"/>
  <c r="CC52" i="72"/>
  <c r="CA53" i="72"/>
  <c r="CE52" i="72"/>
  <c r="CG52" i="72"/>
  <c r="CE53" i="72"/>
  <c r="Y46" i="72"/>
  <c r="W47" i="72"/>
  <c r="AF127" i="72"/>
  <c r="AF128" i="72"/>
  <c r="AF131" i="72"/>
  <c r="AF132" i="72"/>
  <c r="AF117" i="72"/>
  <c r="AF118" i="72"/>
  <c r="AF123" i="72"/>
  <c r="AF124" i="72"/>
  <c r="AF115" i="72"/>
  <c r="AF116" i="72"/>
  <c r="AF109" i="72"/>
  <c r="AF110" i="72"/>
  <c r="AF45" i="72"/>
  <c r="AF129" i="72"/>
  <c r="AF130" i="72"/>
  <c r="AF125" i="72"/>
  <c r="AF126" i="72"/>
  <c r="AF119" i="72"/>
  <c r="AF120" i="72"/>
  <c r="AF121" i="72"/>
  <c r="AF122" i="72"/>
  <c r="AF113" i="72"/>
  <c r="AF114" i="72"/>
  <c r="AF107" i="72"/>
  <c r="AF108" i="72"/>
  <c r="K31" i="72"/>
  <c r="X59" i="72"/>
  <c r="X60" i="72"/>
  <c r="H43" i="72"/>
  <c r="BH43" i="72"/>
  <c r="Y45" i="72"/>
  <c r="AB49" i="72"/>
  <c r="AB50" i="72"/>
  <c r="BX49" i="72"/>
  <c r="BX50" i="72"/>
  <c r="BY50" i="72"/>
  <c r="BW51" i="72"/>
  <c r="BH51" i="72"/>
  <c r="BH52" i="72"/>
  <c r="DU57" i="72"/>
  <c r="EO58" i="72"/>
  <c r="EP58" i="72"/>
  <c r="EN59" i="72"/>
  <c r="EP57" i="72"/>
  <c r="BD45" i="72"/>
  <c r="BD46" i="72"/>
  <c r="BH49" i="72"/>
  <c r="BH50" i="72"/>
  <c r="BX51" i="72"/>
  <c r="BX52" i="72"/>
  <c r="BH53" i="72"/>
  <c r="BH54" i="72"/>
  <c r="DM55" i="72"/>
  <c r="DQ65" i="72"/>
  <c r="DQ66" i="72"/>
  <c r="DQ67" i="72"/>
  <c r="DQ68" i="72"/>
  <c r="DQ69" i="72"/>
  <c r="DQ70" i="72"/>
  <c r="DQ71" i="72"/>
  <c r="DQ72" i="72"/>
  <c r="DQ73" i="72"/>
  <c r="DQ74" i="72"/>
  <c r="EC58" i="72"/>
  <c r="ED58" i="72"/>
  <c r="EB59" i="72"/>
  <c r="ED57" i="72"/>
  <c r="EL57" i="72"/>
  <c r="EK58" i="72"/>
  <c r="EL58" i="72"/>
  <c r="EJ59" i="72"/>
  <c r="S31" i="72"/>
  <c r="BD43" i="72"/>
  <c r="DY57" i="72"/>
  <c r="AB45" i="72"/>
  <c r="AB51" i="72"/>
  <c r="AB52" i="72"/>
  <c r="DI56" i="72"/>
  <c r="DJ56" i="72"/>
  <c r="DJ55" i="72"/>
  <c r="EO65" i="72"/>
  <c r="EO66" i="72"/>
  <c r="EO67" i="72"/>
  <c r="EO68" i="72"/>
  <c r="EO69" i="72"/>
  <c r="EO70" i="72"/>
  <c r="EO71" i="72"/>
  <c r="EO72" i="72"/>
  <c r="EO73" i="72"/>
  <c r="EO74" i="72"/>
  <c r="EO75" i="72"/>
  <c r="EO76" i="72"/>
  <c r="EO64" i="72"/>
  <c r="EH57" i="72"/>
  <c r="EG58" i="72"/>
  <c r="EH58" i="72"/>
  <c r="EF59" i="72"/>
  <c r="EC77" i="72"/>
  <c r="EC78" i="72"/>
  <c r="DI75" i="72"/>
  <c r="DI76" i="72"/>
  <c r="EO77" i="72"/>
  <c r="EO78" i="72"/>
  <c r="EG59" i="72"/>
  <c r="DI59" i="72"/>
  <c r="EK77" i="72"/>
  <c r="EK78" i="72"/>
  <c r="CC49" i="72"/>
  <c r="Z38" i="55"/>
  <c r="EC60" i="72"/>
  <c r="AE42" i="55"/>
  <c r="AG42" i="55"/>
  <c r="AH42" i="55"/>
  <c r="AH41" i="55"/>
  <c r="H198" i="48"/>
  <c r="DF59" i="72"/>
  <c r="DD60" i="72"/>
  <c r="DF60" i="72"/>
  <c r="DD61" i="72"/>
  <c r="DF61" i="72"/>
  <c r="EC65" i="72"/>
  <c r="EC66" i="72"/>
  <c r="EC67" i="72"/>
  <c r="EC68" i="72"/>
  <c r="EC69" i="72"/>
  <c r="EC70" i="72"/>
  <c r="EC71" i="72"/>
  <c r="EC72" i="72"/>
  <c r="EC73" i="72"/>
  <c r="EC74" i="72"/>
  <c r="EC75" i="72"/>
  <c r="EC76" i="72"/>
  <c r="CG51" i="72"/>
  <c r="CK53" i="72"/>
  <c r="DF57" i="72"/>
  <c r="U36" i="55"/>
  <c r="V36" i="55"/>
  <c r="C34" i="55"/>
  <c r="C35" i="55"/>
  <c r="E35" i="55"/>
  <c r="F33" i="55"/>
  <c r="AM33" i="55" s="1"/>
  <c r="AN33" i="55" s="1"/>
  <c r="AN74" i="55" s="1"/>
  <c r="EK64" i="72"/>
  <c r="U38" i="55"/>
  <c r="V38" i="55"/>
  <c r="V37" i="55"/>
  <c r="F71" i="55"/>
  <c r="I36" i="55"/>
  <c r="J36" i="55"/>
  <c r="AG40" i="55"/>
  <c r="AH40" i="55"/>
  <c r="AO47" i="72"/>
  <c r="AN48" i="72"/>
  <c r="AO48" i="72"/>
  <c r="AM49" i="72"/>
  <c r="AZ42" i="72"/>
  <c r="BA42" i="72"/>
  <c r="BA41" i="72"/>
  <c r="BB41" i="72"/>
  <c r="BL46" i="72"/>
  <c r="BM46" i="72"/>
  <c r="BM45" i="72"/>
  <c r="BN45" i="72"/>
  <c r="F88" i="68"/>
  <c r="G87" i="68"/>
  <c r="H87" i="68"/>
  <c r="BP46" i="72"/>
  <c r="BQ46" i="72"/>
  <c r="BQ45" i="72"/>
  <c r="BR45" i="72"/>
  <c r="DY61" i="72"/>
  <c r="DY62" i="72"/>
  <c r="DY63" i="72"/>
  <c r="DY60" i="72"/>
  <c r="C20" i="68"/>
  <c r="C106" i="68"/>
  <c r="A23" i="48"/>
  <c r="A18" i="64"/>
  <c r="J35" i="55"/>
  <c r="A57" i="65"/>
  <c r="A8" i="65"/>
  <c r="AS49" i="72"/>
  <c r="Q47" i="72"/>
  <c r="EK60" i="72"/>
  <c r="L35" i="55"/>
  <c r="M35" i="55"/>
  <c r="M34" i="55"/>
  <c r="N34" i="55"/>
  <c r="I34" i="55"/>
  <c r="J34" i="55"/>
  <c r="BY49" i="72"/>
  <c r="DQ56" i="72"/>
  <c r="DR56" i="72"/>
  <c r="DP57" i="72"/>
  <c r="DR57" i="72"/>
  <c r="AW43" i="72"/>
  <c r="AX43" i="72"/>
  <c r="AU44" i="72"/>
  <c r="AW44" i="72"/>
  <c r="G33" i="68"/>
  <c r="H33" i="68"/>
  <c r="F34" i="68"/>
  <c r="AI42" i="55"/>
  <c r="AL41" i="55"/>
  <c r="Q49" i="72"/>
  <c r="O50" i="72"/>
  <c r="Q50" i="72"/>
  <c r="O51" i="72"/>
  <c r="Q38" i="55"/>
  <c r="O39" i="55"/>
  <c r="Q39" i="55"/>
  <c r="AE43" i="55"/>
  <c r="AG43" i="55"/>
  <c r="R37" i="55"/>
  <c r="F16" i="48"/>
  <c r="F12" i="64" s="1"/>
  <c r="A10" i="64"/>
  <c r="W40" i="55"/>
  <c r="Z39" i="55"/>
  <c r="G38" i="55"/>
  <c r="J37" i="55"/>
  <c r="DM61" i="72"/>
  <c r="DM62" i="72"/>
  <c r="DM63" i="72"/>
  <c r="DM60" i="72"/>
  <c r="DD62" i="72"/>
  <c r="DF62" i="72"/>
  <c r="DD63" i="72"/>
  <c r="E34" i="55"/>
  <c r="F34" i="55"/>
  <c r="V39" i="55"/>
  <c r="S40" i="55"/>
  <c r="AA40" i="55"/>
  <c r="G13" i="69"/>
  <c r="F66" i="68"/>
  <c r="G65" i="68"/>
  <c r="I48" i="54"/>
  <c r="BY51" i="72"/>
  <c r="BW52" i="72"/>
  <c r="BY52" i="72"/>
  <c r="BW53" i="72"/>
  <c r="EH59" i="72"/>
  <c r="EF60" i="72"/>
  <c r="EL59" i="72"/>
  <c r="EJ60" i="72"/>
  <c r="T45" i="72"/>
  <c r="T46" i="72"/>
  <c r="T125" i="72"/>
  <c r="T126" i="72"/>
  <c r="T127" i="72"/>
  <c r="T128" i="72"/>
  <c r="T121" i="72"/>
  <c r="T122" i="72"/>
  <c r="T113" i="72"/>
  <c r="T114" i="72"/>
  <c r="T111" i="72"/>
  <c r="T112" i="72"/>
  <c r="T117" i="72"/>
  <c r="T118" i="72"/>
  <c r="T103" i="72"/>
  <c r="T104" i="72"/>
  <c r="T95" i="72"/>
  <c r="T96" i="72"/>
  <c r="T91" i="72"/>
  <c r="T92" i="72"/>
  <c r="T131" i="72"/>
  <c r="T132" i="72"/>
  <c r="T129" i="72"/>
  <c r="T130" i="72"/>
  <c r="T123" i="72"/>
  <c r="T124" i="72"/>
  <c r="T119" i="72"/>
  <c r="T120" i="72"/>
  <c r="T115" i="72"/>
  <c r="T116" i="72"/>
  <c r="T107" i="72"/>
  <c r="T108" i="72"/>
  <c r="T109" i="72"/>
  <c r="T110" i="72"/>
  <c r="T97" i="72"/>
  <c r="T98" i="72"/>
  <c r="T93" i="72"/>
  <c r="T94" i="72"/>
  <c r="T89" i="72"/>
  <c r="T90" i="72"/>
  <c r="T101" i="72"/>
  <c r="T102" i="72"/>
  <c r="T105" i="72"/>
  <c r="T106" i="72"/>
  <c r="T83" i="72"/>
  <c r="T84" i="72"/>
  <c r="T87" i="72"/>
  <c r="T88" i="72"/>
  <c r="T75" i="72"/>
  <c r="T76" i="72"/>
  <c r="T69" i="72"/>
  <c r="T70" i="72"/>
  <c r="T77" i="72"/>
  <c r="T78" i="72"/>
  <c r="T59" i="72"/>
  <c r="T60" i="72"/>
  <c r="T51" i="72"/>
  <c r="T52" i="72"/>
  <c r="T55" i="72"/>
  <c r="T56" i="72"/>
  <c r="T65" i="72"/>
  <c r="T66" i="72"/>
  <c r="T57" i="72"/>
  <c r="T58" i="72"/>
  <c r="T43" i="72"/>
  <c r="T99" i="72"/>
  <c r="T100" i="72"/>
  <c r="T81" i="72"/>
  <c r="T82" i="72"/>
  <c r="T85" i="72"/>
  <c r="T86" i="72"/>
  <c r="T79" i="72"/>
  <c r="T80" i="72"/>
  <c r="T73" i="72"/>
  <c r="T74" i="72"/>
  <c r="T71" i="72"/>
  <c r="T72" i="72"/>
  <c r="T67" i="72"/>
  <c r="T68" i="72"/>
  <c r="T49" i="72"/>
  <c r="T50" i="72"/>
  <c r="T61" i="72"/>
  <c r="T62" i="72"/>
  <c r="T53" i="72"/>
  <c r="T54" i="72"/>
  <c r="T63" i="72"/>
  <c r="T64" i="72"/>
  <c r="T47" i="72"/>
  <c r="T48" i="72"/>
  <c r="ED59" i="72"/>
  <c r="EB60" i="72"/>
  <c r="ED60" i="72"/>
  <c r="EB61" i="72"/>
  <c r="DM56" i="72"/>
  <c r="DN56" i="72"/>
  <c r="DN55" i="72"/>
  <c r="AK51" i="72"/>
  <c r="AI52" i="72"/>
  <c r="AK52" i="72"/>
  <c r="AI53" i="72"/>
  <c r="DH57" i="72"/>
  <c r="DY58" i="72"/>
  <c r="DZ58" i="72"/>
  <c r="DZ57" i="72"/>
  <c r="DV57" i="72"/>
  <c r="DU58" i="72"/>
  <c r="DV58" i="72"/>
  <c r="L45" i="72"/>
  <c r="L46" i="72"/>
  <c r="L43" i="72"/>
  <c r="L44" i="72"/>
  <c r="L127" i="72"/>
  <c r="L128" i="72"/>
  <c r="L123" i="72"/>
  <c r="L124" i="72"/>
  <c r="L121" i="72"/>
  <c r="L122" i="72"/>
  <c r="L109" i="72"/>
  <c r="L110" i="72"/>
  <c r="L111" i="72"/>
  <c r="L112" i="72"/>
  <c r="L107" i="72"/>
  <c r="L108" i="72"/>
  <c r="L97" i="72"/>
  <c r="L98" i="72"/>
  <c r="L93" i="72"/>
  <c r="L94" i="72"/>
  <c r="L89" i="72"/>
  <c r="L90" i="72"/>
  <c r="L101" i="72"/>
  <c r="L102" i="72"/>
  <c r="L85" i="72"/>
  <c r="L86" i="72"/>
  <c r="L87" i="72"/>
  <c r="L88" i="72"/>
  <c r="L81" i="72"/>
  <c r="L82" i="72"/>
  <c r="L75" i="72"/>
  <c r="L76" i="72"/>
  <c r="L71" i="72"/>
  <c r="L72" i="72"/>
  <c r="L67" i="72"/>
  <c r="L68" i="72"/>
  <c r="L61" i="72"/>
  <c r="L62" i="72"/>
  <c r="L49" i="72"/>
  <c r="L50" i="72"/>
  <c r="L63" i="72"/>
  <c r="L64" i="72"/>
  <c r="L51" i="72"/>
  <c r="L52" i="72"/>
  <c r="L53" i="72"/>
  <c r="L54" i="72"/>
  <c r="L125" i="72"/>
  <c r="L126" i="72"/>
  <c r="L119" i="72"/>
  <c r="L120" i="72"/>
  <c r="L117" i="72"/>
  <c r="L118" i="72"/>
  <c r="L115" i="72"/>
  <c r="L116" i="72"/>
  <c r="L113" i="72"/>
  <c r="L114" i="72"/>
  <c r="L99" i="72"/>
  <c r="L100" i="72"/>
  <c r="L95" i="72"/>
  <c r="L96" i="72"/>
  <c r="L91" i="72"/>
  <c r="L92" i="72"/>
  <c r="L105" i="72"/>
  <c r="L106" i="72"/>
  <c r="L103" i="72"/>
  <c r="L104" i="72"/>
  <c r="L77" i="72"/>
  <c r="L78" i="72"/>
  <c r="L79" i="72"/>
  <c r="L80" i="72"/>
  <c r="L83" i="72"/>
  <c r="L84" i="72"/>
  <c r="L73" i="72"/>
  <c r="L74" i="72"/>
  <c r="L65" i="72"/>
  <c r="L66" i="72"/>
  <c r="L69" i="72"/>
  <c r="L70" i="72"/>
  <c r="L55" i="72"/>
  <c r="L56" i="72"/>
  <c r="L41" i="72"/>
  <c r="L57" i="72"/>
  <c r="L58" i="72"/>
  <c r="L59" i="72"/>
  <c r="L60" i="72"/>
  <c r="L47" i="72"/>
  <c r="L48" i="72"/>
  <c r="CG53" i="72"/>
  <c r="CE54" i="72"/>
  <c r="CG54" i="72"/>
  <c r="CE55" i="72"/>
  <c r="BU51" i="72"/>
  <c r="BS52" i="72"/>
  <c r="BU52" i="72"/>
  <c r="BS53" i="72"/>
  <c r="BH44" i="72"/>
  <c r="BI44" i="72"/>
  <c r="BI43" i="72"/>
  <c r="BJ43" i="72"/>
  <c r="CK55" i="72"/>
  <c r="CI56" i="72"/>
  <c r="CK56" i="72"/>
  <c r="CI57" i="72"/>
  <c r="AQ52" i="72"/>
  <c r="AS52" i="72"/>
  <c r="AQ53" i="72"/>
  <c r="AS51" i="72"/>
  <c r="DI61" i="72"/>
  <c r="DI62" i="72"/>
  <c r="DI63" i="72"/>
  <c r="DI60" i="72"/>
  <c r="AB46" i="72"/>
  <c r="AC46" i="72"/>
  <c r="AA47" i="72"/>
  <c r="AC45" i="72"/>
  <c r="EG60" i="72"/>
  <c r="EG61" i="72"/>
  <c r="EG62" i="72"/>
  <c r="EG63" i="72"/>
  <c r="BD44" i="72"/>
  <c r="BE44" i="72"/>
  <c r="BE43" i="72"/>
  <c r="BF43" i="72"/>
  <c r="H44" i="72"/>
  <c r="I44" i="72"/>
  <c r="G45" i="72"/>
  <c r="I43" i="72"/>
  <c r="AF46" i="72"/>
  <c r="AG46" i="72"/>
  <c r="AE47" i="72"/>
  <c r="AG45" i="72"/>
  <c r="W48" i="72"/>
  <c r="Y48" i="72"/>
  <c r="W49" i="72"/>
  <c r="Y47" i="72"/>
  <c r="CC53" i="72"/>
  <c r="CA54" i="72"/>
  <c r="CC54" i="72"/>
  <c r="CA55" i="72"/>
  <c r="C48" i="72"/>
  <c r="E48" i="72"/>
  <c r="C49" i="72"/>
  <c r="E47" i="72"/>
  <c r="EN60" i="72"/>
  <c r="EP60" i="72"/>
  <c r="EP59" i="72"/>
  <c r="H200" i="48"/>
  <c r="H202" i="48"/>
  <c r="H210" i="48" s="1"/>
  <c r="H201" i="48"/>
  <c r="H209" i="48" s="1"/>
  <c r="EL60" i="72"/>
  <c r="EJ61" i="72"/>
  <c r="EJ62" i="72"/>
  <c r="EL62" i="72"/>
  <c r="EJ63" i="72"/>
  <c r="DP58" i="72"/>
  <c r="DR58" i="72"/>
  <c r="DP59" i="72"/>
  <c r="DR59" i="72"/>
  <c r="AM50" i="72"/>
  <c r="AO50" i="72"/>
  <c r="AM51" i="72"/>
  <c r="AO49" i="72"/>
  <c r="BR46" i="72"/>
  <c r="BO47" i="72"/>
  <c r="BK47" i="72"/>
  <c r="BN46" i="72"/>
  <c r="DY65" i="72"/>
  <c r="DY66" i="72"/>
  <c r="DY67" i="72"/>
  <c r="DY68" i="72"/>
  <c r="DY69" i="72"/>
  <c r="DY70" i="72"/>
  <c r="DY71" i="72"/>
  <c r="DY72" i="72"/>
  <c r="DY73" i="72"/>
  <c r="DY74" i="72"/>
  <c r="DY75" i="72"/>
  <c r="DY76" i="72"/>
  <c r="DY64" i="72"/>
  <c r="F89" i="68"/>
  <c r="G88" i="68"/>
  <c r="H88" i="68"/>
  <c r="AY43" i="72"/>
  <c r="BB42" i="72"/>
  <c r="A20" i="64"/>
  <c r="A24" i="48"/>
  <c r="C21" i="68"/>
  <c r="C153" i="68"/>
  <c r="C149" i="68"/>
  <c r="AM34" i="55"/>
  <c r="AO34" i="55" s="1"/>
  <c r="N35" i="55"/>
  <c r="K36" i="55"/>
  <c r="AX44" i="72"/>
  <c r="AU45" i="72"/>
  <c r="G34" i="68"/>
  <c r="H34" i="68"/>
  <c r="F35" i="68"/>
  <c r="W41" i="55"/>
  <c r="Y41" i="55"/>
  <c r="Y40" i="55"/>
  <c r="Z40" i="55"/>
  <c r="AH43" i="55"/>
  <c r="AE44" i="55"/>
  <c r="Q51" i="72"/>
  <c r="O52" i="72"/>
  <c r="Q52" i="72"/>
  <c r="O53" i="72"/>
  <c r="U40" i="55"/>
  <c r="V40" i="55"/>
  <c r="S41" i="55"/>
  <c r="U41" i="55"/>
  <c r="C36" i="55"/>
  <c r="F35" i="55"/>
  <c r="DD64" i="72"/>
  <c r="DF64" i="72"/>
  <c r="DD65" i="72"/>
  <c r="DD66" i="72"/>
  <c r="DF66" i="72"/>
  <c r="DF63" i="72"/>
  <c r="DM65" i="72"/>
  <c r="DM66" i="72"/>
  <c r="DM67" i="72"/>
  <c r="DM68" i="72"/>
  <c r="DM69" i="72"/>
  <c r="DM70" i="72"/>
  <c r="DM71" i="72"/>
  <c r="DM72" i="72"/>
  <c r="DM73" i="72"/>
  <c r="DM74" i="72"/>
  <c r="DM64" i="72"/>
  <c r="I38" i="55"/>
  <c r="J38" i="55"/>
  <c r="G39" i="55"/>
  <c r="I39" i="55"/>
  <c r="R39" i="55"/>
  <c r="O40" i="55"/>
  <c r="AC40" i="55"/>
  <c r="AD40" i="55"/>
  <c r="AA41" i="55"/>
  <c r="AC41" i="55"/>
  <c r="AK42" i="55"/>
  <c r="AL42" i="55"/>
  <c r="AI43" i="55"/>
  <c r="AK43" i="55"/>
  <c r="H65" i="68"/>
  <c r="F67" i="68"/>
  <c r="G66" i="68"/>
  <c r="H66" i="68"/>
  <c r="I45" i="72"/>
  <c r="G46" i="72"/>
  <c r="I46" i="72"/>
  <c r="G47" i="72"/>
  <c r="DI65" i="72"/>
  <c r="DI66" i="72"/>
  <c r="DI67" i="72"/>
  <c r="DI68" i="72"/>
  <c r="DI69" i="72"/>
  <c r="DI70" i="72"/>
  <c r="DI71" i="72"/>
  <c r="DI72" i="72"/>
  <c r="DI73" i="72"/>
  <c r="DI74" i="72"/>
  <c r="DI64" i="72"/>
  <c r="CI58" i="72"/>
  <c r="CK58" i="72"/>
  <c r="CI59" i="72"/>
  <c r="CK57" i="72"/>
  <c r="DH58" i="72"/>
  <c r="DJ58" i="72"/>
  <c r="DJ57" i="72"/>
  <c r="EB62" i="72"/>
  <c r="ED62" i="72"/>
  <c r="ED61" i="72"/>
  <c r="EH60" i="72"/>
  <c r="EF61" i="72"/>
  <c r="CC55" i="72"/>
  <c r="CA56" i="72"/>
  <c r="CC56" i="72"/>
  <c r="CA57" i="72"/>
  <c r="BU53" i="72"/>
  <c r="BS54" i="72"/>
  <c r="BU54" i="72"/>
  <c r="BS55" i="72"/>
  <c r="CE56" i="72"/>
  <c r="CG56" i="72"/>
  <c r="CE57" i="72"/>
  <c r="CG55" i="72"/>
  <c r="E49" i="72"/>
  <c r="C50" i="72"/>
  <c r="E50" i="72"/>
  <c r="C51" i="72"/>
  <c r="BF44" i="72"/>
  <c r="BC45" i="72"/>
  <c r="L42" i="72"/>
  <c r="M42" i="72"/>
  <c r="M41" i="72"/>
  <c r="K43" i="72"/>
  <c r="AK53" i="72"/>
  <c r="AI54" i="72"/>
  <c r="AK54" i="72"/>
  <c r="AI55" i="72"/>
  <c r="U43" i="72"/>
  <c r="T44" i="72"/>
  <c r="U44" i="72"/>
  <c r="S45" i="72"/>
  <c r="BY53" i="72"/>
  <c r="BW54" i="72"/>
  <c r="BY54" i="72"/>
  <c r="BW55" i="72"/>
  <c r="Y49" i="72"/>
  <c r="W50" i="72"/>
  <c r="Y50" i="72"/>
  <c r="W51" i="72"/>
  <c r="AE48" i="72"/>
  <c r="AG48" i="72"/>
  <c r="AE49" i="72"/>
  <c r="AG47" i="72"/>
  <c r="AA48" i="72"/>
  <c r="AC48" i="72"/>
  <c r="AA49" i="72"/>
  <c r="AC47" i="72"/>
  <c r="EG65" i="72"/>
  <c r="EG66" i="72"/>
  <c r="EG67" i="72"/>
  <c r="EG68" i="72"/>
  <c r="EG69" i="72"/>
  <c r="EG70" i="72"/>
  <c r="EG71" i="72"/>
  <c r="EG72" i="72"/>
  <c r="EG73" i="72"/>
  <c r="EG74" i="72"/>
  <c r="EG75" i="72"/>
  <c r="EG76" i="72"/>
  <c r="EG64" i="72"/>
  <c r="AQ54" i="72"/>
  <c r="AS54" i="72"/>
  <c r="AQ55" i="72"/>
  <c r="AS53" i="72"/>
  <c r="BJ44" i="72"/>
  <c r="BG45" i="72"/>
  <c r="DT59" i="72"/>
  <c r="DX59" i="72"/>
  <c r="DL57" i="72"/>
  <c r="EN61" i="72"/>
  <c r="EL61" i="72"/>
  <c r="DF65" i="72"/>
  <c r="AM35" i="55"/>
  <c r="AN35" i="55"/>
  <c r="DP60" i="72"/>
  <c r="DR60" i="72"/>
  <c r="DP61" i="72"/>
  <c r="DR61" i="72"/>
  <c r="AM52" i="72"/>
  <c r="AO52" i="72"/>
  <c r="AM53" i="72"/>
  <c r="AO51" i="72"/>
  <c r="F90" i="68"/>
  <c r="G89" i="68"/>
  <c r="H89" i="68"/>
  <c r="BK48" i="72"/>
  <c r="BM48" i="72"/>
  <c r="BM47" i="72"/>
  <c r="BN47" i="72"/>
  <c r="BO48" i="72"/>
  <c r="BQ48" i="72"/>
  <c r="BQ47" i="72"/>
  <c r="BR47" i="72"/>
  <c r="AY44" i="72"/>
  <c r="BA44" i="72"/>
  <c r="BA43" i="72"/>
  <c r="BB43" i="72"/>
  <c r="A25" i="48"/>
  <c r="A21" i="64"/>
  <c r="A11" i="65" s="1"/>
  <c r="M36" i="55"/>
  <c r="N36" i="55"/>
  <c r="K37" i="55"/>
  <c r="M37" i="55"/>
  <c r="G35" i="68"/>
  <c r="H35" i="68"/>
  <c r="F36" i="68"/>
  <c r="AU46" i="72"/>
  <c r="AW46" i="72"/>
  <c r="AW45" i="72"/>
  <c r="AX45" i="72"/>
  <c r="E36" i="55"/>
  <c r="F36" i="55"/>
  <c r="C37" i="55"/>
  <c r="E37" i="55"/>
  <c r="W42" i="55"/>
  <c r="Z41" i="55"/>
  <c r="AA42" i="55"/>
  <c r="G40" i="55"/>
  <c r="J39" i="55"/>
  <c r="V41" i="55"/>
  <c r="S42" i="55"/>
  <c r="AG44" i="55"/>
  <c r="AH44" i="55"/>
  <c r="AE45" i="55"/>
  <c r="AG45" i="55"/>
  <c r="AI44" i="55"/>
  <c r="AL43" i="55"/>
  <c r="Q40" i="55"/>
  <c r="O41" i="55"/>
  <c r="Q41" i="55"/>
  <c r="Q53" i="72"/>
  <c r="O54" i="72"/>
  <c r="Q54" i="72"/>
  <c r="O55" i="72"/>
  <c r="F68" i="68"/>
  <c r="G67" i="68"/>
  <c r="H67" i="68"/>
  <c r="DL58" i="72"/>
  <c r="DN58" i="72"/>
  <c r="DN57" i="72"/>
  <c r="DZ59" i="72"/>
  <c r="DX60" i="72"/>
  <c r="DZ60" i="72"/>
  <c r="DD67" i="72"/>
  <c r="CE58" i="72"/>
  <c r="CG58" i="72"/>
  <c r="CE59" i="72"/>
  <c r="CG57" i="72"/>
  <c r="AE50" i="72"/>
  <c r="AG50" i="72"/>
  <c r="AE51" i="72"/>
  <c r="AG49" i="72"/>
  <c r="S46" i="72"/>
  <c r="U46" i="72"/>
  <c r="S47" i="72"/>
  <c r="U45" i="72"/>
  <c r="M43" i="72"/>
  <c r="K44" i="72"/>
  <c r="M44" i="72"/>
  <c r="K45" i="72"/>
  <c r="E51" i="72"/>
  <c r="C52" i="72"/>
  <c r="E52" i="72"/>
  <c r="C53" i="72"/>
  <c r="BS56" i="72"/>
  <c r="BU56" i="72"/>
  <c r="BS57" i="72"/>
  <c r="BU55" i="72"/>
  <c r="CA58" i="72"/>
  <c r="CC58" i="72"/>
  <c r="CA59" i="72"/>
  <c r="CC57" i="72"/>
  <c r="EB63" i="72"/>
  <c r="BW56" i="72"/>
  <c r="BY56" i="72"/>
  <c r="BW57" i="72"/>
  <c r="BY55" i="72"/>
  <c r="BG46" i="72"/>
  <c r="BI46" i="72"/>
  <c r="BI45" i="72"/>
  <c r="BJ45" i="72"/>
  <c r="I47" i="72"/>
  <c r="G48" i="72"/>
  <c r="I48" i="72"/>
  <c r="G49" i="72"/>
  <c r="AS55" i="72"/>
  <c r="AQ56" i="72"/>
  <c r="AS56" i="72"/>
  <c r="AQ57" i="72"/>
  <c r="EL63" i="72"/>
  <c r="EJ64" i="72"/>
  <c r="EL64" i="72"/>
  <c r="EJ65" i="72"/>
  <c r="DT60" i="72"/>
  <c r="DV60" i="72"/>
  <c r="DV59" i="72"/>
  <c r="AA50" i="72"/>
  <c r="AC50" i="72"/>
  <c r="AA51" i="72"/>
  <c r="AC49" i="72"/>
  <c r="W52" i="72"/>
  <c r="Y52" i="72"/>
  <c r="W53" i="72"/>
  <c r="Y51" i="72"/>
  <c r="AI56" i="72"/>
  <c r="AK56" i="72"/>
  <c r="AI57" i="72"/>
  <c r="AK55" i="72"/>
  <c r="BE45" i="72"/>
  <c r="BF45" i="72"/>
  <c r="BC46" i="72"/>
  <c r="BE46" i="72"/>
  <c r="EH61" i="72"/>
  <c r="EF62" i="72"/>
  <c r="EH62" i="72"/>
  <c r="DH59" i="72"/>
  <c r="CK59" i="72"/>
  <c r="CI60" i="72"/>
  <c r="CK60" i="72"/>
  <c r="CI61" i="72"/>
  <c r="EN62" i="72"/>
  <c r="EP62" i="72"/>
  <c r="EP61" i="72"/>
  <c r="DP62" i="72"/>
  <c r="DR62" i="72"/>
  <c r="DP63" i="72"/>
  <c r="AO53" i="72"/>
  <c r="AM54" i="72"/>
  <c r="AO54" i="72"/>
  <c r="AM55" i="72"/>
  <c r="BB44" i="72"/>
  <c r="AY45" i="72"/>
  <c r="BN48" i="72"/>
  <c r="BK49" i="72"/>
  <c r="BO49" i="72"/>
  <c r="BR48" i="72"/>
  <c r="F91" i="68"/>
  <c r="G90" i="68"/>
  <c r="H90" i="68"/>
  <c r="AM36" i="55"/>
  <c r="AO36" i="55" s="1"/>
  <c r="F61" i="48"/>
  <c r="F55" i="64" s="1"/>
  <c r="A22" i="64"/>
  <c r="A12" i="65" s="1"/>
  <c r="A26" i="48"/>
  <c r="K38" i="55"/>
  <c r="N37" i="55"/>
  <c r="AX46" i="72"/>
  <c r="AU47" i="72"/>
  <c r="G36" i="68"/>
  <c r="H36" i="68"/>
  <c r="F37" i="68"/>
  <c r="Q55" i="72"/>
  <c r="O56" i="72"/>
  <c r="Q56" i="72"/>
  <c r="O57" i="72"/>
  <c r="I40" i="55"/>
  <c r="J40" i="55"/>
  <c r="G41" i="55"/>
  <c r="I41" i="55"/>
  <c r="C38" i="55"/>
  <c r="F37" i="55"/>
  <c r="AI45" i="55"/>
  <c r="AK45" i="55"/>
  <c r="AK44" i="55"/>
  <c r="AL44" i="55"/>
  <c r="O42" i="55"/>
  <c r="R41" i="55"/>
  <c r="AH45" i="55"/>
  <c r="AE46" i="55"/>
  <c r="AC42" i="55"/>
  <c r="AD42" i="55"/>
  <c r="AA43" i="55"/>
  <c r="AC43" i="55"/>
  <c r="U42" i="55"/>
  <c r="V42" i="55"/>
  <c r="S43" i="55"/>
  <c r="U43" i="55"/>
  <c r="W43" i="55"/>
  <c r="Y43" i="55"/>
  <c r="Y42" i="55"/>
  <c r="Z42" i="55"/>
  <c r="G68" i="68"/>
  <c r="H68" i="68"/>
  <c r="F69" i="68"/>
  <c r="BU57" i="72"/>
  <c r="BS58" i="72"/>
  <c r="BU58" i="72"/>
  <c r="BS59" i="72"/>
  <c r="AE52" i="72"/>
  <c r="AG52" i="72"/>
  <c r="AE53" i="72"/>
  <c r="AG51" i="72"/>
  <c r="DX61" i="72"/>
  <c r="AK57" i="72"/>
  <c r="AI58" i="72"/>
  <c r="AK58" i="72"/>
  <c r="AI59" i="72"/>
  <c r="DJ59" i="72"/>
  <c r="DH60" i="72"/>
  <c r="DJ60" i="72"/>
  <c r="BC47" i="72"/>
  <c r="BF46" i="72"/>
  <c r="AQ58" i="72"/>
  <c r="AS58" i="72"/>
  <c r="AQ59" i="72"/>
  <c r="AS57" i="72"/>
  <c r="BG47" i="72"/>
  <c r="BJ46" i="72"/>
  <c r="BY57" i="72"/>
  <c r="BW58" i="72"/>
  <c r="BY58" i="72"/>
  <c r="BW59" i="72"/>
  <c r="ED63" i="72"/>
  <c r="EB64" i="72"/>
  <c r="ED64" i="72"/>
  <c r="C54" i="72"/>
  <c r="E54" i="72"/>
  <c r="C55" i="72"/>
  <c r="E53" i="72"/>
  <c r="DP64" i="72"/>
  <c r="DR64" i="72"/>
  <c r="DR63" i="72"/>
  <c r="W54" i="72"/>
  <c r="Y54" i="72"/>
  <c r="W55" i="72"/>
  <c r="Y53" i="72"/>
  <c r="DT61" i="72"/>
  <c r="U47" i="72"/>
  <c r="S48" i="72"/>
  <c r="U48" i="72"/>
  <c r="S49" i="72"/>
  <c r="AA52" i="72"/>
  <c r="AC52" i="72"/>
  <c r="AA53" i="72"/>
  <c r="AC51" i="72"/>
  <c r="CI62" i="72"/>
  <c r="CK62" i="72"/>
  <c r="CI63" i="72"/>
  <c r="CK61" i="72"/>
  <c r="EF63" i="72"/>
  <c r="EL65" i="72"/>
  <c r="EJ66" i="72"/>
  <c r="EL66" i="72"/>
  <c r="I49" i="72"/>
  <c r="G50" i="72"/>
  <c r="I50" i="72"/>
  <c r="G51" i="72"/>
  <c r="CC59" i="72"/>
  <c r="CA60" i="72"/>
  <c r="CC60" i="72"/>
  <c r="CA61" i="72"/>
  <c r="M45" i="72"/>
  <c r="K46" i="72"/>
  <c r="M46" i="72"/>
  <c r="K47" i="72"/>
  <c r="CE60" i="72"/>
  <c r="CG60" i="72"/>
  <c r="CE61" i="72"/>
  <c r="CG59" i="72"/>
  <c r="DF67" i="72"/>
  <c r="DD68" i="72"/>
  <c r="DF68" i="72"/>
  <c r="DL59" i="72"/>
  <c r="EN63" i="72"/>
  <c r="AM56" i="72"/>
  <c r="AO56" i="72"/>
  <c r="AM57" i="72"/>
  <c r="AO55" i="72"/>
  <c r="AM37" i="55"/>
  <c r="AN37" i="55" s="1"/>
  <c r="BK50" i="72"/>
  <c r="BM50" i="72"/>
  <c r="BM49" i="72"/>
  <c r="BN49" i="72"/>
  <c r="F92" i="68"/>
  <c r="G91" i="68"/>
  <c r="AY46" i="72"/>
  <c r="BA46" i="72"/>
  <c r="BA45" i="72"/>
  <c r="BB45" i="72"/>
  <c r="BQ49" i="72"/>
  <c r="BR49" i="72"/>
  <c r="BO50" i="72"/>
  <c r="BQ50" i="72"/>
  <c r="F62" i="48"/>
  <c r="F56" i="64" s="1"/>
  <c r="A23" i="64"/>
  <c r="A13" i="65"/>
  <c r="F27" i="48"/>
  <c r="F24" i="64" s="1"/>
  <c r="A27" i="48"/>
  <c r="M38" i="55"/>
  <c r="N38" i="55"/>
  <c r="K39" i="55"/>
  <c r="M39" i="55"/>
  <c r="AU48" i="72"/>
  <c r="AW48" i="72"/>
  <c r="AW47" i="72"/>
  <c r="AX47" i="72"/>
  <c r="G37" i="68"/>
  <c r="F38" i="68"/>
  <c r="Z43" i="55"/>
  <c r="W44" i="55"/>
  <c r="AL45" i="55"/>
  <c r="AI46" i="55"/>
  <c r="E38" i="55"/>
  <c r="F38" i="55"/>
  <c r="C39" i="55"/>
  <c r="E39" i="55"/>
  <c r="S44" i="55"/>
  <c r="V43" i="55"/>
  <c r="AE47" i="55"/>
  <c r="AG47" i="55"/>
  <c r="AG46" i="55"/>
  <c r="AH46" i="55"/>
  <c r="G42" i="55"/>
  <c r="J41" i="55"/>
  <c r="Q42" i="55"/>
  <c r="O43" i="55"/>
  <c r="Q43" i="55"/>
  <c r="Q57" i="72"/>
  <c r="O58" i="72"/>
  <c r="Q58" i="72"/>
  <c r="O59" i="72"/>
  <c r="AA44" i="55"/>
  <c r="F70" i="68"/>
  <c r="G69" i="68"/>
  <c r="DN59" i="72"/>
  <c r="DL60" i="72"/>
  <c r="DN60" i="72"/>
  <c r="CK63" i="72"/>
  <c r="CI64" i="72"/>
  <c r="CK64" i="72"/>
  <c r="CI65" i="72"/>
  <c r="DV61" i="72"/>
  <c r="DT62" i="72"/>
  <c r="DV62" i="72"/>
  <c r="BW60" i="72"/>
  <c r="BY60" i="72"/>
  <c r="BW61" i="72"/>
  <c r="BY59" i="72"/>
  <c r="AK59" i="72"/>
  <c r="AI60" i="72"/>
  <c r="AK60" i="72"/>
  <c r="AI61" i="72"/>
  <c r="CG61" i="72"/>
  <c r="CE62" i="72"/>
  <c r="CG62" i="72"/>
  <c r="CE63" i="72"/>
  <c r="CC61" i="72"/>
  <c r="CA62" i="72"/>
  <c r="CC62" i="72"/>
  <c r="CA63" i="72"/>
  <c r="I51" i="72"/>
  <c r="G52" i="72"/>
  <c r="I52" i="72"/>
  <c r="G53" i="72"/>
  <c r="S50" i="72"/>
  <c r="U50" i="72"/>
  <c r="S51" i="72"/>
  <c r="U49" i="72"/>
  <c r="DP65" i="72"/>
  <c r="BE47" i="72"/>
  <c r="BF47" i="72"/>
  <c r="BC48" i="72"/>
  <c r="BE48" i="72"/>
  <c r="AG53" i="72"/>
  <c r="AE54" i="72"/>
  <c r="AG54" i="72"/>
  <c r="AE55" i="72"/>
  <c r="DD69" i="72"/>
  <c r="EF64" i="72"/>
  <c r="EH64" i="72"/>
  <c r="EH63" i="72"/>
  <c r="AC53" i="72"/>
  <c r="AA54" i="72"/>
  <c r="AC54" i="72"/>
  <c r="AA55" i="72"/>
  <c r="EB65" i="72"/>
  <c r="DH61" i="72"/>
  <c r="DX62" i="72"/>
  <c r="DZ62" i="72"/>
  <c r="DZ61" i="72"/>
  <c r="BS60" i="72"/>
  <c r="BU60" i="72"/>
  <c r="BS61" i="72"/>
  <c r="BU59" i="72"/>
  <c r="K48" i="72"/>
  <c r="M48" i="72"/>
  <c r="K49" i="72"/>
  <c r="M47" i="72"/>
  <c r="EJ67" i="72"/>
  <c r="Y55" i="72"/>
  <c r="W56" i="72"/>
  <c r="Y56" i="72"/>
  <c r="W57" i="72"/>
  <c r="C56" i="72"/>
  <c r="E56" i="72"/>
  <c r="C57" i="72"/>
  <c r="E55" i="72"/>
  <c r="BI47" i="72"/>
  <c r="BJ47" i="72"/>
  <c r="BG48" i="72"/>
  <c r="BI48" i="72"/>
  <c r="AQ60" i="72"/>
  <c r="AS60" i="72"/>
  <c r="AQ61" i="72"/>
  <c r="AS59" i="72"/>
  <c r="EP63" i="72"/>
  <c r="EN64" i="72"/>
  <c r="EP64" i="72"/>
  <c r="AM38" i="55"/>
  <c r="AO38" i="55" s="1"/>
  <c r="AO57" i="72"/>
  <c r="AM58" i="72"/>
  <c r="AO58" i="72"/>
  <c r="AM59" i="72"/>
  <c r="BO51" i="72"/>
  <c r="BR50" i="72"/>
  <c r="H91" i="68"/>
  <c r="G92" i="68"/>
  <c r="H92" i="68"/>
  <c r="F93" i="68"/>
  <c r="BB46" i="72"/>
  <c r="AY47" i="72"/>
  <c r="BN50" i="72"/>
  <c r="BK51" i="72"/>
  <c r="A29" i="48"/>
  <c r="A24" i="64"/>
  <c r="F29" i="48"/>
  <c r="F26" i="64"/>
  <c r="K40" i="55"/>
  <c r="N39" i="55"/>
  <c r="H37" i="68"/>
  <c r="F39" i="68"/>
  <c r="G38" i="68"/>
  <c r="H38" i="68"/>
  <c r="AU49" i="72"/>
  <c r="AX48" i="72"/>
  <c r="AK46" i="55"/>
  <c r="AL46" i="55"/>
  <c r="AI47" i="55"/>
  <c r="AK47" i="55"/>
  <c r="I42" i="55"/>
  <c r="J42" i="55"/>
  <c r="G43" i="55"/>
  <c r="I43" i="55"/>
  <c r="Q59" i="72"/>
  <c r="O60" i="72"/>
  <c r="Q60" i="72"/>
  <c r="O61" i="72"/>
  <c r="O44" i="55"/>
  <c r="R43" i="55"/>
  <c r="AE48" i="55"/>
  <c r="AH47" i="55"/>
  <c r="S45" i="55"/>
  <c r="U45" i="55"/>
  <c r="U44" i="55"/>
  <c r="V44" i="55"/>
  <c r="C40" i="55"/>
  <c r="F39" i="55"/>
  <c r="W45" i="55"/>
  <c r="Y45" i="55"/>
  <c r="Y44" i="55"/>
  <c r="Z44" i="55"/>
  <c r="AC44" i="55"/>
  <c r="AD44" i="55"/>
  <c r="AA45" i="55"/>
  <c r="AC45" i="55"/>
  <c r="H69" i="68"/>
  <c r="F71" i="68"/>
  <c r="G70" i="68"/>
  <c r="H70" i="68"/>
  <c r="DJ61" i="72"/>
  <c r="DH62" i="72"/>
  <c r="DJ62" i="72"/>
  <c r="AE56" i="72"/>
  <c r="AG56" i="72"/>
  <c r="AE57" i="72"/>
  <c r="AG55" i="72"/>
  <c r="CC63" i="72"/>
  <c r="CA64" i="72"/>
  <c r="CC64" i="72"/>
  <c r="CA65" i="72"/>
  <c r="DT63" i="72"/>
  <c r="CK65" i="72"/>
  <c r="CI66" i="72"/>
  <c r="CK66" i="72"/>
  <c r="CI67" i="72"/>
  <c r="BG49" i="72"/>
  <c r="BJ48" i="72"/>
  <c r="BU61" i="72"/>
  <c r="BS62" i="72"/>
  <c r="BU62" i="72"/>
  <c r="BS63" i="72"/>
  <c r="EF65" i="72"/>
  <c r="DP66" i="72"/>
  <c r="DR66" i="72"/>
  <c r="DR65" i="72"/>
  <c r="S52" i="72"/>
  <c r="U52" i="72"/>
  <c r="S53" i="72"/>
  <c r="U51" i="72"/>
  <c r="W58" i="72"/>
  <c r="Y58" i="72"/>
  <c r="W59" i="72"/>
  <c r="Y57" i="72"/>
  <c r="AA56" i="72"/>
  <c r="AC56" i="72"/>
  <c r="AA57" i="72"/>
  <c r="AC55" i="72"/>
  <c r="BC49" i="72"/>
  <c r="BF48" i="72"/>
  <c r="I53" i="72"/>
  <c r="G54" i="72"/>
  <c r="I54" i="72"/>
  <c r="G55" i="72"/>
  <c r="CG63" i="72"/>
  <c r="CE64" i="72"/>
  <c r="CG64" i="72"/>
  <c r="CE65" i="72"/>
  <c r="AI62" i="72"/>
  <c r="AK62" i="72"/>
  <c r="AI63" i="72"/>
  <c r="AK61" i="72"/>
  <c r="DL61" i="72"/>
  <c r="AS61" i="72"/>
  <c r="AQ62" i="72"/>
  <c r="AS62" i="72"/>
  <c r="AQ63" i="72"/>
  <c r="C58" i="72"/>
  <c r="E58" i="72"/>
  <c r="C59" i="72"/>
  <c r="E57" i="72"/>
  <c r="EJ68" i="72"/>
  <c r="EL68" i="72"/>
  <c r="EL67" i="72"/>
  <c r="K50" i="72"/>
  <c r="M50" i="72"/>
  <c r="K51" i="72"/>
  <c r="M49" i="72"/>
  <c r="DX63" i="72"/>
  <c r="EB66" i="72"/>
  <c r="ED66" i="72"/>
  <c r="ED65" i="72"/>
  <c r="DD70" i="72"/>
  <c r="DF70" i="72"/>
  <c r="DF69" i="72"/>
  <c r="BY61" i="72"/>
  <c r="BW62" i="72"/>
  <c r="BY62" i="72"/>
  <c r="BW63" i="72"/>
  <c r="EN65" i="72"/>
  <c r="AO59" i="72"/>
  <c r="AM60" i="72"/>
  <c r="AO60" i="72"/>
  <c r="AM61" i="72"/>
  <c r="AM39" i="55"/>
  <c r="AN39" i="55"/>
  <c r="BA47" i="72"/>
  <c r="BB47" i="72"/>
  <c r="AY48" i="72"/>
  <c r="BA48" i="72"/>
  <c r="BK52" i="72"/>
  <c r="BM52" i="72"/>
  <c r="BM51" i="72"/>
  <c r="BN51" i="72"/>
  <c r="F94" i="68"/>
  <c r="G93" i="68"/>
  <c r="BQ51" i="72"/>
  <c r="BR51" i="72"/>
  <c r="BO52" i="72"/>
  <c r="BQ52" i="72"/>
  <c r="A26" i="64"/>
  <c r="A31" i="48"/>
  <c r="K41" i="55"/>
  <c r="M41" i="55"/>
  <c r="M40" i="55"/>
  <c r="N40" i="55"/>
  <c r="F40" i="68"/>
  <c r="G40" i="68"/>
  <c r="H40" i="68"/>
  <c r="G39" i="68"/>
  <c r="H39" i="68"/>
  <c r="H41" i="68"/>
  <c r="H42" i="68"/>
  <c r="D46" i="68"/>
  <c r="AU50" i="72"/>
  <c r="AW50" i="72"/>
  <c r="AW49" i="72"/>
  <c r="AX49" i="72"/>
  <c r="Z45" i="55"/>
  <c r="W46" i="55"/>
  <c r="S46" i="55"/>
  <c r="V45" i="55"/>
  <c r="Q44" i="55"/>
  <c r="O45" i="55"/>
  <c r="Q45" i="55"/>
  <c r="AA46" i="55"/>
  <c r="Q61" i="72"/>
  <c r="O62" i="72"/>
  <c r="Q62" i="72"/>
  <c r="O63" i="72"/>
  <c r="J43" i="55"/>
  <c r="G44" i="55"/>
  <c r="E40" i="55"/>
  <c r="F40" i="55"/>
  <c r="C41" i="55"/>
  <c r="E41" i="55"/>
  <c r="AG48" i="55"/>
  <c r="AH48" i="55"/>
  <c r="AE49" i="55"/>
  <c r="AG49" i="55"/>
  <c r="AI48" i="55"/>
  <c r="AL47" i="55"/>
  <c r="F72" i="68"/>
  <c r="G71" i="68"/>
  <c r="H71" i="68"/>
  <c r="I55" i="72"/>
  <c r="G56" i="72"/>
  <c r="I56" i="72"/>
  <c r="G57" i="72"/>
  <c r="CK67" i="72"/>
  <c r="CI68" i="72"/>
  <c r="CK68" i="72"/>
  <c r="CI69" i="72"/>
  <c r="CC65" i="72"/>
  <c r="CA66" i="72"/>
  <c r="CC66" i="72"/>
  <c r="CA67" i="72"/>
  <c r="AS63" i="72"/>
  <c r="AQ64" i="72"/>
  <c r="AS64" i="72"/>
  <c r="AQ65" i="72"/>
  <c r="DD71" i="72"/>
  <c r="EJ69" i="72"/>
  <c r="AK63" i="72"/>
  <c r="AI64" i="72"/>
  <c r="AK64" i="72"/>
  <c r="AI65" i="72"/>
  <c r="AC57" i="72"/>
  <c r="AA58" i="72"/>
  <c r="AC58" i="72"/>
  <c r="AA59" i="72"/>
  <c r="U53" i="72"/>
  <c r="S54" i="72"/>
  <c r="U54" i="72"/>
  <c r="S55" i="72"/>
  <c r="EH65" i="72"/>
  <c r="EF66" i="72"/>
  <c r="EH66" i="72"/>
  <c r="DN61" i="72"/>
  <c r="DL62" i="72"/>
  <c r="DN62" i="72"/>
  <c r="BY63" i="72"/>
  <c r="BW64" i="72"/>
  <c r="BY64" i="72"/>
  <c r="BW65" i="72"/>
  <c r="CG65" i="72"/>
  <c r="CE66" i="72"/>
  <c r="CG66" i="72"/>
  <c r="CE67" i="72"/>
  <c r="BU63" i="72"/>
  <c r="BS64" i="72"/>
  <c r="BU64" i="72"/>
  <c r="BS65" i="72"/>
  <c r="DH63" i="72"/>
  <c r="DX64" i="72"/>
  <c r="DZ64" i="72"/>
  <c r="DZ63" i="72"/>
  <c r="EB67" i="72"/>
  <c r="M51" i="72"/>
  <c r="K52" i="72"/>
  <c r="M52" i="72"/>
  <c r="K53" i="72"/>
  <c r="E59" i="72"/>
  <c r="C60" i="72"/>
  <c r="E60" i="72"/>
  <c r="C61" i="72"/>
  <c r="BC50" i="72"/>
  <c r="BE50" i="72"/>
  <c r="BE49" i="72"/>
  <c r="BF49" i="72"/>
  <c r="Y59" i="72"/>
  <c r="W60" i="72"/>
  <c r="Y60" i="72"/>
  <c r="W61" i="72"/>
  <c r="DP67" i="72"/>
  <c r="BG50" i="72"/>
  <c r="BI50" i="72"/>
  <c r="BI49" i="72"/>
  <c r="BJ49" i="72"/>
  <c r="DV63" i="72"/>
  <c r="DT64" i="72"/>
  <c r="DV64" i="72"/>
  <c r="AE58" i="72"/>
  <c r="AG58" i="72"/>
  <c r="AE59" i="72"/>
  <c r="AG57" i="72"/>
  <c r="EP65" i="72"/>
  <c r="EN66" i="72"/>
  <c r="EP66" i="72"/>
  <c r="AM40" i="55"/>
  <c r="AO40" i="55" s="1"/>
  <c r="AM62" i="72"/>
  <c r="AO62" i="72"/>
  <c r="AM63" i="72"/>
  <c r="AO61" i="72"/>
  <c r="BR52" i="72"/>
  <c r="BO53" i="72"/>
  <c r="BN52" i="72"/>
  <c r="BK53" i="72"/>
  <c r="H93" i="68"/>
  <c r="AY49" i="72"/>
  <c r="BB48" i="72"/>
  <c r="F95" i="68"/>
  <c r="G94" i="68"/>
  <c r="H94" i="68"/>
  <c r="F32" i="48"/>
  <c r="F29" i="64" s="1"/>
  <c r="A28" i="64"/>
  <c r="A32" i="48"/>
  <c r="G41" i="68"/>
  <c r="N41" i="55"/>
  <c r="K42" i="55"/>
  <c r="AX50" i="72"/>
  <c r="AU51" i="72"/>
  <c r="C42" i="55"/>
  <c r="F41" i="55"/>
  <c r="Q63" i="72"/>
  <c r="O64" i="72"/>
  <c r="Q64" i="72"/>
  <c r="O65" i="72"/>
  <c r="O46" i="55"/>
  <c r="R45" i="55"/>
  <c r="Y46" i="55"/>
  <c r="Z46" i="55"/>
  <c r="W47" i="55"/>
  <c r="Y47" i="55"/>
  <c r="AI49" i="55"/>
  <c r="AK49" i="55"/>
  <c r="AK48" i="55"/>
  <c r="AL48" i="55"/>
  <c r="AH49" i="55"/>
  <c r="AE50" i="55"/>
  <c r="I44" i="55"/>
  <c r="J44" i="55"/>
  <c r="G45" i="55"/>
  <c r="I45" i="55"/>
  <c r="AC46" i="55"/>
  <c r="AD46" i="55"/>
  <c r="AA47" i="55"/>
  <c r="AC47" i="55"/>
  <c r="S47" i="55"/>
  <c r="U47" i="55"/>
  <c r="U46" i="55"/>
  <c r="V46" i="55"/>
  <c r="F73" i="68"/>
  <c r="G73" i="68"/>
  <c r="G72" i="68"/>
  <c r="H72" i="68"/>
  <c r="AG59" i="72"/>
  <c r="AE60" i="72"/>
  <c r="AG60" i="72"/>
  <c r="AE61" i="72"/>
  <c r="BG51" i="72"/>
  <c r="BJ50" i="72"/>
  <c r="BC51" i="72"/>
  <c r="BF50" i="72"/>
  <c r="ED67" i="72"/>
  <c r="EB68" i="72"/>
  <c r="ED68" i="72"/>
  <c r="EL69" i="72"/>
  <c r="EJ70" i="72"/>
  <c r="EL70" i="72"/>
  <c r="DT65" i="72"/>
  <c r="W62" i="72"/>
  <c r="Y62" i="72"/>
  <c r="W63" i="72"/>
  <c r="Y61" i="72"/>
  <c r="M53" i="72"/>
  <c r="K54" i="72"/>
  <c r="M54" i="72"/>
  <c r="K55" i="72"/>
  <c r="BU65" i="72"/>
  <c r="BS66" i="72"/>
  <c r="BU66" i="72"/>
  <c r="BS67" i="72"/>
  <c r="DL63" i="72"/>
  <c r="EF67" i="72"/>
  <c r="AK65" i="72"/>
  <c r="AI66" i="72"/>
  <c r="AK66" i="72"/>
  <c r="AI67" i="72"/>
  <c r="CK69" i="72"/>
  <c r="CI70" i="72"/>
  <c r="CK70" i="72"/>
  <c r="CI71" i="72"/>
  <c r="DR67" i="72"/>
  <c r="DP68" i="72"/>
  <c r="DR68" i="72"/>
  <c r="DX65" i="72"/>
  <c r="DF71" i="72"/>
  <c r="DD72" i="72"/>
  <c r="DF72" i="72"/>
  <c r="E61" i="72"/>
  <c r="C62" i="72"/>
  <c r="E62" i="72"/>
  <c r="C63" i="72"/>
  <c r="DJ63" i="72"/>
  <c r="DH64" i="72"/>
  <c r="DJ64" i="72"/>
  <c r="CE68" i="72"/>
  <c r="CG68" i="72"/>
  <c r="CE69" i="72"/>
  <c r="CG67" i="72"/>
  <c r="BY65" i="72"/>
  <c r="BW66" i="72"/>
  <c r="BY66" i="72"/>
  <c r="BW67" i="72"/>
  <c r="S56" i="72"/>
  <c r="U56" i="72"/>
  <c r="S57" i="72"/>
  <c r="U55" i="72"/>
  <c r="AC59" i="72"/>
  <c r="AA60" i="72"/>
  <c r="AC60" i="72"/>
  <c r="AA61" i="72"/>
  <c r="AS65" i="72"/>
  <c r="AQ66" i="72"/>
  <c r="AS66" i="72"/>
  <c r="AQ67" i="72"/>
  <c r="CA68" i="72"/>
  <c r="CC68" i="72"/>
  <c r="CA69" i="72"/>
  <c r="CC67" i="72"/>
  <c r="I57" i="72"/>
  <c r="G58" i="72"/>
  <c r="I58" i="72"/>
  <c r="G59" i="72"/>
  <c r="EN67" i="72"/>
  <c r="AO63" i="72"/>
  <c r="AM64" i="72"/>
  <c r="AO64" i="72"/>
  <c r="AM65" i="72"/>
  <c r="BM53" i="72"/>
  <c r="BN53" i="72"/>
  <c r="BK54" i="72"/>
  <c r="BM54" i="72"/>
  <c r="BA49" i="72"/>
  <c r="BB49" i="72"/>
  <c r="AY50" i="72"/>
  <c r="BA50" i="72"/>
  <c r="BQ53" i="72"/>
  <c r="BR53" i="72"/>
  <c r="BO54" i="72"/>
  <c r="BQ54" i="72"/>
  <c r="G95" i="68"/>
  <c r="H95" i="68"/>
  <c r="F96" i="68"/>
  <c r="G96" i="68"/>
  <c r="H96" i="68"/>
  <c r="A34" i="48"/>
  <c r="A29" i="64"/>
  <c r="K43" i="55"/>
  <c r="M43" i="55"/>
  <c r="M42" i="55"/>
  <c r="N42" i="55"/>
  <c r="AM41" i="55"/>
  <c r="AN41" i="55" s="1"/>
  <c r="AU52" i="72"/>
  <c r="AW52" i="72"/>
  <c r="AW51" i="72"/>
  <c r="AX51" i="72"/>
  <c r="V47" i="55"/>
  <c r="S48" i="55"/>
  <c r="AE51" i="55"/>
  <c r="AG51" i="55"/>
  <c r="AG50" i="55"/>
  <c r="AH50" i="55"/>
  <c r="W48" i="55"/>
  <c r="Z47" i="55"/>
  <c r="C43" i="55"/>
  <c r="E43" i="55"/>
  <c r="E42" i="55"/>
  <c r="F42" i="55"/>
  <c r="G46" i="55"/>
  <c r="J45" i="55"/>
  <c r="AL49" i="55"/>
  <c r="AI50" i="55"/>
  <c r="Q65" i="72"/>
  <c r="O66" i="72"/>
  <c r="Q66" i="72"/>
  <c r="O67" i="72"/>
  <c r="AA48" i="55"/>
  <c r="O47" i="55"/>
  <c r="Q47" i="55"/>
  <c r="Q46" i="55"/>
  <c r="H73" i="68"/>
  <c r="H74" i="68"/>
  <c r="H75" i="68"/>
  <c r="G74" i="68"/>
  <c r="Y63" i="72"/>
  <c r="W64" i="72"/>
  <c r="Y64" i="72"/>
  <c r="W65" i="72"/>
  <c r="U57" i="72"/>
  <c r="S58" i="72"/>
  <c r="U58" i="72"/>
  <c r="S59" i="72"/>
  <c r="CG69" i="72"/>
  <c r="CE70" i="72"/>
  <c r="CG70" i="72"/>
  <c r="CE71" i="72"/>
  <c r="DV65" i="72"/>
  <c r="DT66" i="72"/>
  <c r="DV66" i="72"/>
  <c r="BE51" i="72"/>
  <c r="BF51" i="72"/>
  <c r="BC52" i="72"/>
  <c r="BE52" i="72"/>
  <c r="AC61" i="72"/>
  <c r="AA62" i="72"/>
  <c r="AC62" i="72"/>
  <c r="AA63" i="72"/>
  <c r="BY67" i="72"/>
  <c r="BW68" i="72"/>
  <c r="BY68" i="72"/>
  <c r="BW69" i="72"/>
  <c r="DH65" i="72"/>
  <c r="DX66" i="72"/>
  <c r="DZ66" i="72"/>
  <c r="DZ65" i="72"/>
  <c r="DP69" i="72"/>
  <c r="BU67" i="72"/>
  <c r="BS68" i="72"/>
  <c r="BU68" i="72"/>
  <c r="BS69" i="72"/>
  <c r="EJ71" i="72"/>
  <c r="EB69" i="72"/>
  <c r="CC69" i="72"/>
  <c r="CA70" i="72"/>
  <c r="CC70" i="72"/>
  <c r="CA71" i="72"/>
  <c r="EF68" i="72"/>
  <c r="EH68" i="72"/>
  <c r="EH67" i="72"/>
  <c r="BG52" i="72"/>
  <c r="BI52" i="72"/>
  <c r="BI51" i="72"/>
  <c r="BJ51" i="72"/>
  <c r="I59" i="72"/>
  <c r="G60" i="72"/>
  <c r="I60" i="72"/>
  <c r="G61" i="72"/>
  <c r="AS67" i="72"/>
  <c r="AQ68" i="72"/>
  <c r="AS68" i="72"/>
  <c r="AQ69" i="72"/>
  <c r="E63" i="72"/>
  <c r="C64" i="72"/>
  <c r="E64" i="72"/>
  <c r="C65" i="72"/>
  <c r="DD73" i="72"/>
  <c r="CK71" i="72"/>
  <c r="CI72" i="72"/>
  <c r="CK72" i="72"/>
  <c r="CI73" i="72"/>
  <c r="AK67" i="72"/>
  <c r="AI68" i="72"/>
  <c r="AK68" i="72"/>
  <c r="AI69" i="72"/>
  <c r="DN63" i="72"/>
  <c r="DL64" i="72"/>
  <c r="DN64" i="72"/>
  <c r="M55" i="72"/>
  <c r="K56" i="72"/>
  <c r="M56" i="72"/>
  <c r="K57" i="72"/>
  <c r="AG61" i="72"/>
  <c r="AE62" i="72"/>
  <c r="AG62" i="72"/>
  <c r="AE63" i="72"/>
  <c r="EP67" i="72"/>
  <c r="EN68" i="72"/>
  <c r="EP68" i="72"/>
  <c r="AM42" i="55"/>
  <c r="AO42" i="55" s="1"/>
  <c r="AO65" i="72"/>
  <c r="AM66" i="72"/>
  <c r="AO66" i="72"/>
  <c r="AM67" i="72"/>
  <c r="H97" i="68"/>
  <c r="H98" i="68"/>
  <c r="AY51" i="72"/>
  <c r="BB50" i="72"/>
  <c r="BO55" i="72"/>
  <c r="BR54" i="72"/>
  <c r="BK55" i="72"/>
  <c r="BN54" i="72"/>
  <c r="G97" i="68"/>
  <c r="A31" i="64"/>
  <c r="A35" i="48"/>
  <c r="F35" i="48"/>
  <c r="F32" i="64" s="1"/>
  <c r="N43" i="55"/>
  <c r="K44" i="55"/>
  <c r="AX52" i="72"/>
  <c r="AU53" i="72"/>
  <c r="I46" i="55"/>
  <c r="J46" i="55"/>
  <c r="G47" i="55"/>
  <c r="I47" i="55"/>
  <c r="C44" i="55"/>
  <c r="F43" i="55"/>
  <c r="W49" i="55"/>
  <c r="Y49" i="55"/>
  <c r="Y48" i="55"/>
  <c r="Z48" i="55"/>
  <c r="AE52" i="55"/>
  <c r="AH51" i="55"/>
  <c r="AI51" i="55"/>
  <c r="AK51" i="55"/>
  <c r="AK50" i="55"/>
  <c r="AL50" i="55"/>
  <c r="AA49" i="55"/>
  <c r="AC49" i="55"/>
  <c r="AC48" i="55"/>
  <c r="AD48" i="55"/>
  <c r="U48" i="55"/>
  <c r="V48" i="55"/>
  <c r="S49" i="55"/>
  <c r="U49" i="55"/>
  <c r="R47" i="55"/>
  <c r="O48" i="55"/>
  <c r="Q67" i="72"/>
  <c r="O68" i="72"/>
  <c r="Q68" i="72"/>
  <c r="O69" i="72"/>
  <c r="DF73" i="72"/>
  <c r="DD74" i="72"/>
  <c r="DF74" i="72"/>
  <c r="AG63" i="72"/>
  <c r="AE64" i="72"/>
  <c r="AG64" i="72"/>
  <c r="AE65" i="72"/>
  <c r="DL65" i="72"/>
  <c r="CI74" i="72"/>
  <c r="CK74" i="72"/>
  <c r="CI75" i="72"/>
  <c r="CK73" i="72"/>
  <c r="E65" i="72"/>
  <c r="C66" i="72"/>
  <c r="E66" i="72"/>
  <c r="I61" i="72"/>
  <c r="G62" i="72"/>
  <c r="I62" i="72"/>
  <c r="G63" i="72"/>
  <c r="DJ65" i="72"/>
  <c r="DH66" i="72"/>
  <c r="DJ66" i="72"/>
  <c r="AC63" i="72"/>
  <c r="AA64" i="72"/>
  <c r="AC64" i="72"/>
  <c r="AA65" i="72"/>
  <c r="CG71" i="72"/>
  <c r="CE72" i="72"/>
  <c r="CG72" i="72"/>
  <c r="CE73" i="72"/>
  <c r="W66" i="72"/>
  <c r="Y66" i="72"/>
  <c r="W67" i="72"/>
  <c r="Y65" i="72"/>
  <c r="EF69" i="72"/>
  <c r="EJ72" i="72"/>
  <c r="EL72" i="72"/>
  <c r="EL71" i="72"/>
  <c r="DX67" i="72"/>
  <c r="M57" i="72"/>
  <c r="K58" i="72"/>
  <c r="M58" i="72"/>
  <c r="K59" i="72"/>
  <c r="AK69" i="72"/>
  <c r="AI70" i="72"/>
  <c r="AK70" i="72"/>
  <c r="AI71" i="72"/>
  <c r="AS69" i="72"/>
  <c r="AQ70" i="72"/>
  <c r="AS70" i="72"/>
  <c r="AQ71" i="72"/>
  <c r="CC71" i="72"/>
  <c r="CA72" i="72"/>
  <c r="CC72" i="72"/>
  <c r="CA73" i="72"/>
  <c r="BU69" i="72"/>
  <c r="BS70" i="72"/>
  <c r="BU70" i="72"/>
  <c r="BS71" i="72"/>
  <c r="BW70" i="72"/>
  <c r="BY70" i="72"/>
  <c r="BW71" i="72"/>
  <c r="BY69" i="72"/>
  <c r="BF52" i="72"/>
  <c r="BC53" i="72"/>
  <c r="DT67" i="72"/>
  <c r="S60" i="72"/>
  <c r="U60" i="72"/>
  <c r="S61" i="72"/>
  <c r="U59" i="72"/>
  <c r="EB70" i="72"/>
  <c r="ED70" i="72"/>
  <c r="ED69" i="72"/>
  <c r="DP70" i="72"/>
  <c r="DR70" i="72"/>
  <c r="DR69" i="72"/>
  <c r="BJ52" i="72"/>
  <c r="BG53" i="72"/>
  <c r="EN69" i="72"/>
  <c r="AO67" i="72"/>
  <c r="AM68" i="72"/>
  <c r="AO68" i="72"/>
  <c r="AM69" i="72"/>
  <c r="BO56" i="72"/>
  <c r="BQ56" i="72"/>
  <c r="BQ55" i="72"/>
  <c r="BR55" i="72"/>
  <c r="AM43" i="55"/>
  <c r="AN43" i="55" s="1"/>
  <c r="BK56" i="72"/>
  <c r="BM56" i="72"/>
  <c r="BM55" i="72"/>
  <c r="BN55" i="72"/>
  <c r="BA51" i="72"/>
  <c r="BB51" i="72"/>
  <c r="AY52" i="72"/>
  <c r="BA52" i="72"/>
  <c r="F141" i="48"/>
  <c r="F129" i="64" s="1"/>
  <c r="F76" i="48"/>
  <c r="F72" i="64" s="1"/>
  <c r="A40" i="48"/>
  <c r="A32" i="64"/>
  <c r="F227" i="48"/>
  <c r="K45" i="55"/>
  <c r="M45" i="55"/>
  <c r="M44" i="55"/>
  <c r="N44" i="55"/>
  <c r="AU54" i="72"/>
  <c r="AW54" i="72"/>
  <c r="AW53" i="72"/>
  <c r="AX53" i="72"/>
  <c r="AA50" i="55"/>
  <c r="O70" i="72"/>
  <c r="Q70" i="72"/>
  <c r="O71" i="72"/>
  <c r="Q69" i="72"/>
  <c r="V49" i="55"/>
  <c r="S50" i="55"/>
  <c r="Z49" i="55"/>
  <c r="W50" i="55"/>
  <c r="E44" i="55"/>
  <c r="F44" i="55"/>
  <c r="C45" i="55"/>
  <c r="E45" i="55"/>
  <c r="J47" i="55"/>
  <c r="G48" i="55"/>
  <c r="O49" i="55"/>
  <c r="Q49" i="55"/>
  <c r="Q48" i="55"/>
  <c r="AI52" i="55"/>
  <c r="AL51" i="55"/>
  <c r="AE53" i="55"/>
  <c r="AG53" i="55"/>
  <c r="AG52" i="55"/>
  <c r="AH52" i="55"/>
  <c r="DP71" i="72"/>
  <c r="BU71" i="72"/>
  <c r="BS72" i="72"/>
  <c r="BU72" i="72"/>
  <c r="BS73" i="72"/>
  <c r="AQ72" i="72"/>
  <c r="AS72" i="72"/>
  <c r="AQ73" i="72"/>
  <c r="AS71" i="72"/>
  <c r="M59" i="72"/>
  <c r="K60" i="72"/>
  <c r="M60" i="72"/>
  <c r="K61" i="72"/>
  <c r="DX68" i="72"/>
  <c r="DZ68" i="72"/>
  <c r="DZ67" i="72"/>
  <c r="CG73" i="72"/>
  <c r="CE74" i="72"/>
  <c r="CG74" i="72"/>
  <c r="CE75" i="72"/>
  <c r="AC65" i="72"/>
  <c r="AA66" i="72"/>
  <c r="AC66" i="72"/>
  <c r="AA67" i="72"/>
  <c r="I63" i="72"/>
  <c r="G64" i="72"/>
  <c r="I64" i="72"/>
  <c r="AG65" i="72"/>
  <c r="AE66" i="72"/>
  <c r="AG66" i="72"/>
  <c r="AE67" i="72"/>
  <c r="BY71" i="72"/>
  <c r="BW72" i="72"/>
  <c r="BY72" i="72"/>
  <c r="BW73" i="72"/>
  <c r="EJ73" i="72"/>
  <c r="EH69" i="72"/>
  <c r="EF70" i="72"/>
  <c r="EH70" i="72"/>
  <c r="CK75" i="72"/>
  <c r="CI76" i="72"/>
  <c r="CK76" i="72"/>
  <c r="CI77" i="72"/>
  <c r="EB71" i="72"/>
  <c r="BC54" i="72"/>
  <c r="BE54" i="72"/>
  <c r="BE53" i="72"/>
  <c r="BF53" i="72"/>
  <c r="CC73" i="72"/>
  <c r="CA74" i="72"/>
  <c r="CC74" i="72"/>
  <c r="CA75" i="72"/>
  <c r="AK71" i="72"/>
  <c r="AI72" i="72"/>
  <c r="AK72" i="72"/>
  <c r="AI73" i="72"/>
  <c r="DH67" i="72"/>
  <c r="C67" i="72"/>
  <c r="DN65" i="72"/>
  <c r="DL66" i="72"/>
  <c r="DN66" i="72"/>
  <c r="DD75" i="72"/>
  <c r="DV67" i="72"/>
  <c r="DT68" i="72"/>
  <c r="DV68" i="72"/>
  <c r="BI53" i="72"/>
  <c r="BJ53" i="72"/>
  <c r="BG54" i="72"/>
  <c r="BI54" i="72"/>
  <c r="U61" i="72"/>
  <c r="S62" i="72"/>
  <c r="U62" i="72"/>
  <c r="S63" i="72"/>
  <c r="W68" i="72"/>
  <c r="Y68" i="72"/>
  <c r="W69" i="72"/>
  <c r="Y67" i="72"/>
  <c r="EN70" i="72"/>
  <c r="EP70" i="72"/>
  <c r="EP69" i="72"/>
  <c r="AM70" i="72"/>
  <c r="AO70" i="72"/>
  <c r="AM71" i="72"/>
  <c r="AO69" i="72"/>
  <c r="BK57" i="72"/>
  <c r="BN56" i="72"/>
  <c r="AY53" i="72"/>
  <c r="BB52" i="72"/>
  <c r="BR56" i="72"/>
  <c r="BO57" i="72"/>
  <c r="A37" i="64"/>
  <c r="A59" i="65"/>
  <c r="A41" i="48"/>
  <c r="F213" i="64"/>
  <c r="G71" i="54"/>
  <c r="AM44" i="55"/>
  <c r="AO44" i="55" s="1"/>
  <c r="N45" i="55"/>
  <c r="K46" i="55"/>
  <c r="AX54" i="72"/>
  <c r="AU55" i="72"/>
  <c r="AE54" i="55"/>
  <c r="AH53" i="55"/>
  <c r="W51" i="55"/>
  <c r="Y51" i="55"/>
  <c r="Y50" i="55"/>
  <c r="Z50" i="55"/>
  <c r="O72" i="72"/>
  <c r="Q72" i="72"/>
  <c r="O73" i="72"/>
  <c r="Q71" i="72"/>
  <c r="AA51" i="55"/>
  <c r="AC51" i="55"/>
  <c r="AC50" i="55"/>
  <c r="AD50" i="55"/>
  <c r="R49" i="55"/>
  <c r="O50" i="55"/>
  <c r="S51" i="55"/>
  <c r="U51" i="55"/>
  <c r="U50" i="55"/>
  <c r="V50" i="55"/>
  <c r="AK52" i="55"/>
  <c r="AL52" i="55"/>
  <c r="AI53" i="55"/>
  <c r="AK53" i="55"/>
  <c r="G49" i="55"/>
  <c r="I49" i="55"/>
  <c r="I48" i="55"/>
  <c r="J48" i="55"/>
  <c r="F45" i="55"/>
  <c r="AM45" i="55"/>
  <c r="AN45" i="55" s="1"/>
  <c r="C46" i="55"/>
  <c r="DT69" i="72"/>
  <c r="DL67" i="72"/>
  <c r="DJ67" i="72"/>
  <c r="DH68" i="72"/>
  <c r="DJ68" i="72"/>
  <c r="CA76" i="72"/>
  <c r="CC76" i="72"/>
  <c r="CA77" i="72"/>
  <c r="CC75" i="72"/>
  <c r="EF71" i="72"/>
  <c r="BY73" i="72"/>
  <c r="BW74" i="72"/>
  <c r="BY74" i="72"/>
  <c r="BW75" i="72"/>
  <c r="CG75" i="72"/>
  <c r="CE76" i="72"/>
  <c r="CG76" i="72"/>
  <c r="CE77" i="72"/>
  <c r="M61" i="72"/>
  <c r="K62" i="72"/>
  <c r="M62" i="72"/>
  <c r="BS74" i="72"/>
  <c r="BU74" i="72"/>
  <c r="BS75" i="72"/>
  <c r="BU73" i="72"/>
  <c r="ED71" i="72"/>
  <c r="EB72" i="72"/>
  <c r="ED72" i="72"/>
  <c r="BG55" i="72"/>
  <c r="BJ54" i="72"/>
  <c r="AK73" i="72"/>
  <c r="AI74" i="72"/>
  <c r="AK74" i="72"/>
  <c r="AI75" i="72"/>
  <c r="CI78" i="72"/>
  <c r="CK78" i="72"/>
  <c r="CI79" i="72"/>
  <c r="CK77" i="72"/>
  <c r="AE68" i="72"/>
  <c r="AG68" i="72"/>
  <c r="AE69" i="72"/>
  <c r="AG67" i="72"/>
  <c r="AC67" i="72"/>
  <c r="AA68" i="72"/>
  <c r="AC68" i="72"/>
  <c r="AA69" i="72"/>
  <c r="Y69" i="72"/>
  <c r="W70" i="72"/>
  <c r="Y70" i="72"/>
  <c r="W71" i="72"/>
  <c r="DF75" i="72"/>
  <c r="DD76" i="72"/>
  <c r="DF76" i="72"/>
  <c r="E67" i="72"/>
  <c r="C68" i="72"/>
  <c r="E68" i="72"/>
  <c r="BC55" i="72"/>
  <c r="BF54" i="72"/>
  <c r="EL73" i="72"/>
  <c r="EJ74" i="72"/>
  <c r="EL74" i="72"/>
  <c r="DX69" i="72"/>
  <c r="AQ74" i="72"/>
  <c r="AS74" i="72"/>
  <c r="AQ75" i="72"/>
  <c r="AS73" i="72"/>
  <c r="DP72" i="72"/>
  <c r="DR72" i="72"/>
  <c r="DR71" i="72"/>
  <c r="U63" i="72"/>
  <c r="S64" i="72"/>
  <c r="U64" i="72"/>
  <c r="S65" i="72"/>
  <c r="G65" i="72"/>
  <c r="EN71" i="72"/>
  <c r="AM72" i="72"/>
  <c r="AO72" i="72"/>
  <c r="AM73" i="72"/>
  <c r="AO71" i="72"/>
  <c r="BA53" i="72"/>
  <c r="BB53" i="72"/>
  <c r="AY54" i="72"/>
  <c r="BA54" i="72"/>
  <c r="BO58" i="72"/>
  <c r="BQ58" i="72"/>
  <c r="BQ57" i="72"/>
  <c r="BR57" i="72"/>
  <c r="BM57" i="72"/>
  <c r="BN57" i="72"/>
  <c r="BK58" i="72"/>
  <c r="BM58" i="72"/>
  <c r="A42" i="48"/>
  <c r="I81" i="68"/>
  <c r="M46" i="55"/>
  <c r="N46" i="55"/>
  <c r="K47" i="55"/>
  <c r="M47" i="55"/>
  <c r="AU56" i="72"/>
  <c r="AW56" i="72"/>
  <c r="AW55" i="72"/>
  <c r="AX55" i="72"/>
  <c r="G50" i="55"/>
  <c r="J49" i="55"/>
  <c r="AA52" i="55"/>
  <c r="Z51" i="55"/>
  <c r="W52" i="55"/>
  <c r="AG54" i="55"/>
  <c r="AH54" i="55"/>
  <c r="AE55" i="55"/>
  <c r="AG55" i="55"/>
  <c r="C47" i="55"/>
  <c r="E47" i="55"/>
  <c r="E46" i="55"/>
  <c r="F46" i="55"/>
  <c r="AI54" i="55"/>
  <c r="AL53" i="55"/>
  <c r="Q50" i="55"/>
  <c r="O51" i="55"/>
  <c r="Q51" i="55"/>
  <c r="S52" i="55"/>
  <c r="V51" i="55"/>
  <c r="Q73" i="72"/>
  <c r="O74" i="72"/>
  <c r="Q74" i="72"/>
  <c r="O75" i="72"/>
  <c r="DP73" i="72"/>
  <c r="BC56" i="72"/>
  <c r="BE56" i="72"/>
  <c r="BE55" i="72"/>
  <c r="BF55" i="72"/>
  <c r="CI80" i="72"/>
  <c r="CK80" i="72"/>
  <c r="CI81" i="72"/>
  <c r="CK79" i="72"/>
  <c r="CC77" i="72"/>
  <c r="CA78" i="72"/>
  <c r="CC78" i="72"/>
  <c r="CA79" i="72"/>
  <c r="U65" i="72"/>
  <c r="S66" i="72"/>
  <c r="U66" i="72"/>
  <c r="S67" i="72"/>
  <c r="EJ75" i="72"/>
  <c r="C69" i="72"/>
  <c r="Y71" i="72"/>
  <c r="W72" i="72"/>
  <c r="Y72" i="72"/>
  <c r="W73" i="72"/>
  <c r="AK75" i="72"/>
  <c r="AI76" i="72"/>
  <c r="AK76" i="72"/>
  <c r="AI77" i="72"/>
  <c r="EB73" i="72"/>
  <c r="CG77" i="72"/>
  <c r="CE78" i="72"/>
  <c r="CG78" i="72"/>
  <c r="CE79" i="72"/>
  <c r="DH69" i="72"/>
  <c r="G66" i="72"/>
  <c r="I66" i="72"/>
  <c r="I65" i="72"/>
  <c r="AQ76" i="72"/>
  <c r="AS76" i="72"/>
  <c r="AQ77" i="72"/>
  <c r="AS75" i="72"/>
  <c r="AE70" i="72"/>
  <c r="AG70" i="72"/>
  <c r="AE71" i="72"/>
  <c r="AG69" i="72"/>
  <c r="BG56" i="72"/>
  <c r="BI56" i="72"/>
  <c r="BI55" i="72"/>
  <c r="BJ55" i="72"/>
  <c r="BU75" i="72"/>
  <c r="BS76" i="72"/>
  <c r="BU76" i="72"/>
  <c r="BS77" i="72"/>
  <c r="EF72" i="72"/>
  <c r="EH72" i="72"/>
  <c r="EH71" i="72"/>
  <c r="DV69" i="72"/>
  <c r="DT70" i="72"/>
  <c r="DV70" i="72"/>
  <c r="DX70" i="72"/>
  <c r="DZ70" i="72"/>
  <c r="DZ69" i="72"/>
  <c r="AA70" i="72"/>
  <c r="AC70" i="72"/>
  <c r="AA71" i="72"/>
  <c r="AC69" i="72"/>
  <c r="K63" i="72"/>
  <c r="BW76" i="72"/>
  <c r="BY76" i="72"/>
  <c r="BW77" i="72"/>
  <c r="BY75" i="72"/>
  <c r="DN67" i="72"/>
  <c r="DL68" i="72"/>
  <c r="DN68" i="72"/>
  <c r="EN72" i="72"/>
  <c r="EP72" i="72"/>
  <c r="EP71" i="72"/>
  <c r="AM46" i="55"/>
  <c r="AO46" i="55"/>
  <c r="AM74" i="72"/>
  <c r="AO74" i="72"/>
  <c r="AM75" i="72"/>
  <c r="AO73" i="72"/>
  <c r="BR58" i="72"/>
  <c r="BO59" i="72"/>
  <c r="BK59" i="72"/>
  <c r="BN58" i="72"/>
  <c r="AY55" i="72"/>
  <c r="BB54" i="72"/>
  <c r="I98" i="68"/>
  <c r="A38" i="64"/>
  <c r="A60" i="65" s="1"/>
  <c r="A43" i="48"/>
  <c r="A45" i="48"/>
  <c r="E46" i="68"/>
  <c r="I75" i="68" s="1"/>
  <c r="F43" i="48"/>
  <c r="K48" i="55"/>
  <c r="N47" i="55"/>
  <c r="AU57" i="72"/>
  <c r="AX56" i="72"/>
  <c r="U52" i="55"/>
  <c r="V52" i="55"/>
  <c r="S53" i="55"/>
  <c r="U53" i="55"/>
  <c r="AI55" i="55"/>
  <c r="AK55" i="55"/>
  <c r="AK54" i="55"/>
  <c r="AL54" i="55"/>
  <c r="AC52" i="55"/>
  <c r="AD52" i="55"/>
  <c r="AA53" i="55"/>
  <c r="AC53" i="55"/>
  <c r="Q75" i="72"/>
  <c r="O76" i="72"/>
  <c r="Q76" i="72"/>
  <c r="O77" i="72"/>
  <c r="R51" i="55"/>
  <c r="O52" i="55"/>
  <c r="Y52" i="55"/>
  <c r="Z52" i="55"/>
  <c r="W53" i="55"/>
  <c r="Y53" i="55"/>
  <c r="C48" i="55"/>
  <c r="F47" i="55"/>
  <c r="AM47" i="55" s="1"/>
  <c r="AN47" i="55" s="1"/>
  <c r="G51" i="55"/>
  <c r="I51" i="55"/>
  <c r="I50" i="55"/>
  <c r="J50" i="55"/>
  <c r="AE56" i="55"/>
  <c r="AH55" i="55"/>
  <c r="DT71" i="72"/>
  <c r="EB74" i="72"/>
  <c r="ED74" i="72"/>
  <c r="ED73" i="72"/>
  <c r="EJ76" i="72"/>
  <c r="EL76" i="72"/>
  <c r="EL75" i="72"/>
  <c r="DP74" i="72"/>
  <c r="DR74" i="72"/>
  <c r="DR73" i="72"/>
  <c r="BY77" i="72"/>
  <c r="BW78" i="72"/>
  <c r="BY78" i="72"/>
  <c r="BW79" i="72"/>
  <c r="AC71" i="72"/>
  <c r="AA72" i="72"/>
  <c r="AC72" i="72"/>
  <c r="AA73" i="72"/>
  <c r="AG71" i="72"/>
  <c r="AE72" i="72"/>
  <c r="AG72" i="72"/>
  <c r="AE73" i="72"/>
  <c r="G67" i="72"/>
  <c r="CE80" i="72"/>
  <c r="CG80" i="72"/>
  <c r="CE81" i="72"/>
  <c r="CG79" i="72"/>
  <c r="AK77" i="72"/>
  <c r="AI78" i="72"/>
  <c r="AK78" i="72"/>
  <c r="AI79" i="72"/>
  <c r="S68" i="72"/>
  <c r="U68" i="72"/>
  <c r="U67" i="72"/>
  <c r="DL69" i="72"/>
  <c r="E69" i="72"/>
  <c r="C70" i="72"/>
  <c r="E70" i="72"/>
  <c r="BC57" i="72"/>
  <c r="BF56" i="72"/>
  <c r="M63" i="72"/>
  <c r="K64" i="72"/>
  <c r="M64" i="72"/>
  <c r="DX71" i="72"/>
  <c r="EF73" i="72"/>
  <c r="BG57" i="72"/>
  <c r="BJ56" i="72"/>
  <c r="AS77" i="72"/>
  <c r="AQ78" i="72"/>
  <c r="AS78" i="72"/>
  <c r="AQ79" i="72"/>
  <c r="DJ69" i="72"/>
  <c r="DH70" i="72"/>
  <c r="DJ70" i="72"/>
  <c r="W74" i="72"/>
  <c r="Y74" i="72"/>
  <c r="W75" i="72"/>
  <c r="Y73" i="72"/>
  <c r="CA80" i="72"/>
  <c r="CC80" i="72"/>
  <c r="CA81" i="72"/>
  <c r="CC79" i="72"/>
  <c r="BU77" i="72"/>
  <c r="BS78" i="72"/>
  <c r="BU78" i="72"/>
  <c r="BS79" i="72"/>
  <c r="CI82" i="72"/>
  <c r="CK82" i="72"/>
  <c r="CI83" i="72"/>
  <c r="CK81" i="72"/>
  <c r="EN73" i="72"/>
  <c r="AO75" i="72"/>
  <c r="AM76" i="72"/>
  <c r="AO76" i="72"/>
  <c r="AM77" i="72"/>
  <c r="BM59" i="72"/>
  <c r="BN59" i="72"/>
  <c r="BK60" i="72"/>
  <c r="BM60" i="72"/>
  <c r="BO60" i="72"/>
  <c r="BQ60" i="72"/>
  <c r="BQ59" i="72"/>
  <c r="BR59" i="72"/>
  <c r="BA55" i="72"/>
  <c r="BB55" i="72"/>
  <c r="AY56" i="72"/>
  <c r="BA56" i="72"/>
  <c r="A39" i="64"/>
  <c r="A46" i="48"/>
  <c r="K49" i="55"/>
  <c r="M49" i="55"/>
  <c r="M48" i="55"/>
  <c r="N48" i="55"/>
  <c r="AW57" i="72"/>
  <c r="AX57" i="72"/>
  <c r="AU58" i="72"/>
  <c r="AW58" i="72"/>
  <c r="Q52" i="55"/>
  <c r="O53" i="55"/>
  <c r="Q53" i="55"/>
  <c r="AA54" i="55"/>
  <c r="AG56" i="55"/>
  <c r="AH56" i="55"/>
  <c r="AE57" i="55"/>
  <c r="AG57" i="55"/>
  <c r="Z53" i="55"/>
  <c r="W54" i="55"/>
  <c r="Q77" i="72"/>
  <c r="O78" i="72"/>
  <c r="Q78" i="72"/>
  <c r="O79" i="72"/>
  <c r="V53" i="55"/>
  <c r="S54" i="55"/>
  <c r="G52" i="55"/>
  <c r="J51" i="55"/>
  <c r="C49" i="55"/>
  <c r="E49" i="55"/>
  <c r="E48" i="55"/>
  <c r="F48" i="55"/>
  <c r="AL55" i="55"/>
  <c r="AI56" i="55"/>
  <c r="CG81" i="72"/>
  <c r="CE82" i="72"/>
  <c r="CG82" i="72"/>
  <c r="CE83" i="72"/>
  <c r="EB75" i="72"/>
  <c r="AQ80" i="72"/>
  <c r="AS80" i="72"/>
  <c r="AQ81" i="72"/>
  <c r="AS79" i="72"/>
  <c r="K65" i="72"/>
  <c r="C71" i="72"/>
  <c r="DN69" i="72"/>
  <c r="DL70" i="72"/>
  <c r="DN70" i="72"/>
  <c r="AK79" i="72"/>
  <c r="AI80" i="72"/>
  <c r="AK80" i="72"/>
  <c r="AI81" i="72"/>
  <c r="AA74" i="72"/>
  <c r="AC74" i="72"/>
  <c r="AA75" i="72"/>
  <c r="AC73" i="72"/>
  <c r="BW80" i="72"/>
  <c r="BY80" i="72"/>
  <c r="BW81" i="72"/>
  <c r="BY79" i="72"/>
  <c r="CK83" i="72"/>
  <c r="CI84" i="72"/>
  <c r="CK84" i="72"/>
  <c r="CI85" i="72"/>
  <c r="W76" i="72"/>
  <c r="Y76" i="72"/>
  <c r="Y75" i="72"/>
  <c r="EH73" i="72"/>
  <c r="EF74" i="72"/>
  <c r="EH74" i="72"/>
  <c r="BE57" i="72"/>
  <c r="BF57" i="72"/>
  <c r="BC58" i="72"/>
  <c r="BE58" i="72"/>
  <c r="I67" i="72"/>
  <c r="G68" i="72"/>
  <c r="I68" i="72"/>
  <c r="EJ77" i="72"/>
  <c r="DT72" i="72"/>
  <c r="DV72" i="72"/>
  <c r="DV71" i="72"/>
  <c r="CA82" i="72"/>
  <c r="CC82" i="72"/>
  <c r="CA83" i="72"/>
  <c r="CC81" i="72"/>
  <c r="BG58" i="72"/>
  <c r="BI58" i="72"/>
  <c r="BI57" i="72"/>
  <c r="BJ57" i="72"/>
  <c r="BS80" i="72"/>
  <c r="BU80" i="72"/>
  <c r="BS81" i="72"/>
  <c r="BU79" i="72"/>
  <c r="DH71" i="72"/>
  <c r="AE74" i="72"/>
  <c r="AG74" i="72"/>
  <c r="AE75" i="72"/>
  <c r="AG73" i="72"/>
  <c r="DX72" i="72"/>
  <c r="DZ72" i="72"/>
  <c r="DZ71" i="72"/>
  <c r="S69" i="72"/>
  <c r="DP75" i="72"/>
  <c r="EN74" i="72"/>
  <c r="EP74" i="72"/>
  <c r="EP73" i="72"/>
  <c r="AM48" i="55"/>
  <c r="AO48" i="55" s="1"/>
  <c r="AO77" i="72"/>
  <c r="AM78" i="72"/>
  <c r="AO78" i="72"/>
  <c r="AM79" i="72"/>
  <c r="BR60" i="72"/>
  <c r="BO61" i="72"/>
  <c r="BB56" i="72"/>
  <c r="AY57" i="72"/>
  <c r="BK61" i="72"/>
  <c r="BN60" i="72"/>
  <c r="F47" i="48"/>
  <c r="F41" i="64" s="1"/>
  <c r="A47" i="48"/>
  <c r="F20" i="48"/>
  <c r="F17" i="64"/>
  <c r="A40" i="64"/>
  <c r="K50" i="55"/>
  <c r="N49" i="55"/>
  <c r="AU59" i="72"/>
  <c r="AX58" i="72"/>
  <c r="R53" i="55"/>
  <c r="O54" i="55"/>
  <c r="G53" i="55"/>
  <c r="I53" i="55"/>
  <c r="I52" i="55"/>
  <c r="J52" i="55"/>
  <c r="O80" i="72"/>
  <c r="Q80" i="72"/>
  <c r="O81" i="72"/>
  <c r="Q79" i="72"/>
  <c r="AE58" i="55"/>
  <c r="AH57" i="55"/>
  <c r="AK56" i="55"/>
  <c r="AL56" i="55"/>
  <c r="AI57" i="55"/>
  <c r="AK57" i="55"/>
  <c r="S55" i="55"/>
  <c r="U55" i="55"/>
  <c r="U54" i="55"/>
  <c r="V54" i="55"/>
  <c r="F49" i="55"/>
  <c r="AM49" i="55" s="1"/>
  <c r="AN49" i="55" s="1"/>
  <c r="C50" i="55"/>
  <c r="Y54" i="55"/>
  <c r="Z54" i="55"/>
  <c r="W55" i="55"/>
  <c r="Y55" i="55"/>
  <c r="AA55" i="55"/>
  <c r="AC55" i="55"/>
  <c r="AC54" i="55"/>
  <c r="AD54" i="55"/>
  <c r="DP76" i="72"/>
  <c r="DR76" i="72"/>
  <c r="DR75" i="72"/>
  <c r="BU81" i="72"/>
  <c r="BS82" i="72"/>
  <c r="BU82" i="72"/>
  <c r="BS83" i="72"/>
  <c r="CA84" i="72"/>
  <c r="CC84" i="72"/>
  <c r="CA85" i="72"/>
  <c r="CC83" i="72"/>
  <c r="EJ78" i="72"/>
  <c r="EL78" i="72"/>
  <c r="EL77" i="72"/>
  <c r="W77" i="72"/>
  <c r="AC75" i="72"/>
  <c r="AA76" i="72"/>
  <c r="AC76" i="72"/>
  <c r="M65" i="72"/>
  <c r="K66" i="72"/>
  <c r="M66" i="72"/>
  <c r="EB76" i="72"/>
  <c r="ED76" i="72"/>
  <c r="ED75" i="72"/>
  <c r="DJ71" i="72"/>
  <c r="DH72" i="72"/>
  <c r="DJ72" i="72"/>
  <c r="G69" i="72"/>
  <c r="EF75" i="72"/>
  <c r="AI82" i="72"/>
  <c r="AK82" i="72"/>
  <c r="AI83" i="72"/>
  <c r="AK81" i="72"/>
  <c r="U69" i="72"/>
  <c r="S70" i="72"/>
  <c r="U70" i="72"/>
  <c r="DX73" i="72"/>
  <c r="BJ58" i="72"/>
  <c r="BG59" i="72"/>
  <c r="DT73" i="72"/>
  <c r="BY81" i="72"/>
  <c r="BW82" i="72"/>
  <c r="BY82" i="72"/>
  <c r="BW83" i="72"/>
  <c r="E71" i="72"/>
  <c r="C72" i="72"/>
  <c r="E72" i="72"/>
  <c r="AS81" i="72"/>
  <c r="AQ82" i="72"/>
  <c r="AS82" i="72"/>
  <c r="AQ83" i="72"/>
  <c r="BF58" i="72"/>
  <c r="BC59" i="72"/>
  <c r="CK85" i="72"/>
  <c r="CI86" i="72"/>
  <c r="CK86" i="72"/>
  <c r="CI87" i="72"/>
  <c r="DL71" i="72"/>
  <c r="CG83" i="72"/>
  <c r="CE84" i="72"/>
  <c r="CG84" i="72"/>
  <c r="CE85" i="72"/>
  <c r="AE76" i="72"/>
  <c r="AG76" i="72"/>
  <c r="AE77" i="72"/>
  <c r="AG75" i="72"/>
  <c r="EN75" i="72"/>
  <c r="AO79" i="72"/>
  <c r="AM80" i="72"/>
  <c r="AO80" i="72"/>
  <c r="AM81" i="72"/>
  <c r="AY58" i="72"/>
  <c r="BA58" i="72"/>
  <c r="BA57" i="72"/>
  <c r="BB57" i="72"/>
  <c r="BO62" i="72"/>
  <c r="BQ62" i="72"/>
  <c r="BQ61" i="72"/>
  <c r="BR61" i="72"/>
  <c r="BK62" i="72"/>
  <c r="BM62" i="72"/>
  <c r="BM61" i="72"/>
  <c r="BN61" i="72"/>
  <c r="A17" i="65"/>
  <c r="A61" i="65"/>
  <c r="F8" i="65"/>
  <c r="F57" i="65"/>
  <c r="A48" i="48"/>
  <c r="F49" i="48"/>
  <c r="F43" i="64"/>
  <c r="A41" i="64"/>
  <c r="M50" i="55"/>
  <c r="N50" i="55"/>
  <c r="K51" i="55"/>
  <c r="M51" i="55"/>
  <c r="AU60" i="72"/>
  <c r="AW60" i="72"/>
  <c r="AW59" i="72"/>
  <c r="AX59" i="72"/>
  <c r="Z55" i="55"/>
  <c r="W56" i="55"/>
  <c r="S56" i="55"/>
  <c r="V55" i="55"/>
  <c r="AG58" i="55"/>
  <c r="AH58" i="55"/>
  <c r="AE59" i="55"/>
  <c r="AG59" i="55"/>
  <c r="Q81" i="72"/>
  <c r="O82" i="72"/>
  <c r="Q82" i="72"/>
  <c r="O83" i="72"/>
  <c r="Q54" i="55"/>
  <c r="O55" i="55"/>
  <c r="Q55" i="55"/>
  <c r="AA56" i="55"/>
  <c r="AI58" i="55"/>
  <c r="AL57" i="55"/>
  <c r="E50" i="55"/>
  <c r="F50" i="55"/>
  <c r="C51" i="55"/>
  <c r="E51" i="55"/>
  <c r="G54" i="55"/>
  <c r="J53" i="55"/>
  <c r="DN71" i="72"/>
  <c r="DL72" i="72"/>
  <c r="DN72" i="72"/>
  <c r="BE59" i="72"/>
  <c r="BF59" i="72"/>
  <c r="BC60" i="72"/>
  <c r="BE60" i="72"/>
  <c r="DT74" i="72"/>
  <c r="DV74" i="72"/>
  <c r="DV73" i="72"/>
  <c r="K67" i="72"/>
  <c r="AG77" i="72"/>
  <c r="AE78" i="72"/>
  <c r="AG78" i="72"/>
  <c r="DX74" i="72"/>
  <c r="DZ74" i="72"/>
  <c r="DZ73" i="72"/>
  <c r="I69" i="72"/>
  <c r="G70" i="72"/>
  <c r="I70" i="72"/>
  <c r="W78" i="72"/>
  <c r="Y78" i="72"/>
  <c r="Y77" i="72"/>
  <c r="CC85" i="72"/>
  <c r="CA86" i="72"/>
  <c r="CC86" i="72"/>
  <c r="CA87" i="72"/>
  <c r="AK83" i="72"/>
  <c r="AI84" i="72"/>
  <c r="AK84" i="72"/>
  <c r="AI85" i="72"/>
  <c r="C73" i="72"/>
  <c r="CG85" i="72"/>
  <c r="CE86" i="72"/>
  <c r="CG86" i="72"/>
  <c r="CE87" i="72"/>
  <c r="CK87" i="72"/>
  <c r="CI88" i="72"/>
  <c r="CK88" i="72"/>
  <c r="CI89" i="72"/>
  <c r="AQ84" i="72"/>
  <c r="AS84" i="72"/>
  <c r="AQ85" i="72"/>
  <c r="AS83" i="72"/>
  <c r="BY83" i="72"/>
  <c r="BW84" i="72"/>
  <c r="BY84" i="72"/>
  <c r="BW85" i="72"/>
  <c r="BG60" i="72"/>
  <c r="BI60" i="72"/>
  <c r="BI59" i="72"/>
  <c r="BJ59" i="72"/>
  <c r="S71" i="72"/>
  <c r="DH73" i="72"/>
  <c r="AA77" i="72"/>
  <c r="BS84" i="72"/>
  <c r="BU84" i="72"/>
  <c r="BS85" i="72"/>
  <c r="BU83" i="72"/>
  <c r="EF76" i="72"/>
  <c r="EH76" i="72"/>
  <c r="EH75" i="72"/>
  <c r="EB77" i="72"/>
  <c r="EN76" i="72"/>
  <c r="EP76" i="72"/>
  <c r="EP75" i="72"/>
  <c r="AO81" i="72"/>
  <c r="AM82" i="72"/>
  <c r="AO82" i="72"/>
  <c r="AM83" i="72"/>
  <c r="BR62" i="72"/>
  <c r="BO63" i="72"/>
  <c r="BK63" i="72"/>
  <c r="BN62" i="72"/>
  <c r="AY59" i="72"/>
  <c r="BB58" i="72"/>
  <c r="AM50" i="55"/>
  <c r="AO50" i="55" s="1"/>
  <c r="A49" i="48"/>
  <c r="A42" i="64"/>
  <c r="K52" i="55"/>
  <c r="N51" i="55"/>
  <c r="AU61" i="72"/>
  <c r="AX60" i="72"/>
  <c r="G55" i="55"/>
  <c r="I55" i="55"/>
  <c r="I54" i="55"/>
  <c r="J54" i="55"/>
  <c r="AA57" i="55"/>
  <c r="AC57" i="55"/>
  <c r="AC56" i="55"/>
  <c r="AD56" i="55"/>
  <c r="R55" i="55"/>
  <c r="O56" i="55"/>
  <c r="AE60" i="55"/>
  <c r="AH59" i="55"/>
  <c r="Y56" i="55"/>
  <c r="Z56" i="55"/>
  <c r="W57" i="55"/>
  <c r="Y57" i="55"/>
  <c r="C52" i="55"/>
  <c r="F51" i="55"/>
  <c r="AM51" i="55" s="1"/>
  <c r="AN51" i="55" s="1"/>
  <c r="AI59" i="55"/>
  <c r="AK59" i="55"/>
  <c r="AK58" i="55"/>
  <c r="AL58" i="55"/>
  <c r="O84" i="72"/>
  <c r="Q84" i="72"/>
  <c r="O85" i="72"/>
  <c r="Q83" i="72"/>
  <c r="S57" i="55"/>
  <c r="U57" i="55"/>
  <c r="U56" i="55"/>
  <c r="V56" i="55"/>
  <c r="BS86" i="72"/>
  <c r="BU86" i="72"/>
  <c r="BS87" i="72"/>
  <c r="BU85" i="72"/>
  <c r="DJ73" i="72"/>
  <c r="DH74" i="72"/>
  <c r="DJ74" i="72"/>
  <c r="CK89" i="72"/>
  <c r="CI90" i="72"/>
  <c r="CK90" i="72"/>
  <c r="CI91" i="72"/>
  <c r="BF60" i="72"/>
  <c r="BC61" i="72"/>
  <c r="ED77" i="72"/>
  <c r="EB78" i="72"/>
  <c r="ED78" i="72"/>
  <c r="BG61" i="72"/>
  <c r="BJ60" i="72"/>
  <c r="W79" i="72"/>
  <c r="K68" i="72"/>
  <c r="M68" i="72"/>
  <c r="M67" i="72"/>
  <c r="BY85" i="72"/>
  <c r="BW86" i="72"/>
  <c r="BY86" i="72"/>
  <c r="BW87" i="72"/>
  <c r="CG87" i="72"/>
  <c r="CE88" i="72"/>
  <c r="CG88" i="72"/>
  <c r="CE89" i="72"/>
  <c r="AI86" i="72"/>
  <c r="AK86" i="72"/>
  <c r="AK85" i="72"/>
  <c r="CA88" i="72"/>
  <c r="CC88" i="72"/>
  <c r="CA89" i="72"/>
  <c r="CC87" i="72"/>
  <c r="G71" i="72"/>
  <c r="AE79" i="72"/>
  <c r="DL73" i="72"/>
  <c r="AQ86" i="72"/>
  <c r="AS86" i="72"/>
  <c r="AQ87" i="72"/>
  <c r="AS85" i="72"/>
  <c r="E73" i="72"/>
  <c r="C74" i="72"/>
  <c r="E74" i="72"/>
  <c r="EF77" i="72"/>
  <c r="AC77" i="72"/>
  <c r="AA78" i="72"/>
  <c r="AC78" i="72"/>
  <c r="U71" i="72"/>
  <c r="S72" i="72"/>
  <c r="U72" i="72"/>
  <c r="DX75" i="72"/>
  <c r="DT75" i="72"/>
  <c r="EN77" i="72"/>
  <c r="AO83" i="72"/>
  <c r="AM84" i="72"/>
  <c r="AO84" i="72"/>
  <c r="AM85" i="72"/>
  <c r="BK64" i="72"/>
  <c r="BM64" i="72"/>
  <c r="BM63" i="72"/>
  <c r="BN63" i="72"/>
  <c r="BO64" i="72"/>
  <c r="BQ64" i="72"/>
  <c r="BQ63" i="72"/>
  <c r="BR63" i="72"/>
  <c r="BA59" i="72"/>
  <c r="BB59" i="72"/>
  <c r="AY60" i="72"/>
  <c r="BA60" i="72"/>
  <c r="A51" i="48"/>
  <c r="F53" i="48"/>
  <c r="F47" i="64" s="1"/>
  <c r="A43" i="64"/>
  <c r="K53" i="55"/>
  <c r="M53" i="55"/>
  <c r="M52" i="55"/>
  <c r="N52" i="55"/>
  <c r="AW61" i="72"/>
  <c r="AX61" i="72"/>
  <c r="AU62" i="72"/>
  <c r="AW62" i="72"/>
  <c r="AE61" i="55"/>
  <c r="AG61" i="55"/>
  <c r="AG60" i="55"/>
  <c r="AH60" i="55"/>
  <c r="AA58" i="55"/>
  <c r="J55" i="55"/>
  <c r="G56" i="55"/>
  <c r="C53" i="55"/>
  <c r="E53" i="55"/>
  <c r="E52" i="55"/>
  <c r="F52" i="55"/>
  <c r="Z57" i="55"/>
  <c r="W58" i="55"/>
  <c r="O57" i="55"/>
  <c r="Q57" i="55"/>
  <c r="Q56" i="55"/>
  <c r="S58" i="55"/>
  <c r="V57" i="55"/>
  <c r="O86" i="72"/>
  <c r="Q86" i="72"/>
  <c r="O87" i="72"/>
  <c r="Q85" i="72"/>
  <c r="AL59" i="55"/>
  <c r="AI60" i="55"/>
  <c r="EH77" i="72"/>
  <c r="EF78" i="72"/>
  <c r="EH78" i="72"/>
  <c r="S73" i="72"/>
  <c r="CG89" i="72"/>
  <c r="CE90" i="72"/>
  <c r="CG90" i="72"/>
  <c r="CE91" i="72"/>
  <c r="BC62" i="72"/>
  <c r="BE62" i="72"/>
  <c r="BE61" i="72"/>
  <c r="BF61" i="72"/>
  <c r="DH75" i="72"/>
  <c r="DX76" i="72"/>
  <c r="DZ76" i="72"/>
  <c r="DZ75" i="72"/>
  <c r="AS87" i="72"/>
  <c r="AQ88" i="72"/>
  <c r="AS88" i="72"/>
  <c r="AQ89" i="72"/>
  <c r="AE80" i="72"/>
  <c r="AG80" i="72"/>
  <c r="AG79" i="72"/>
  <c r="BI61" i="72"/>
  <c r="BJ61" i="72"/>
  <c r="BG62" i="72"/>
  <c r="BI62" i="72"/>
  <c r="AA79" i="72"/>
  <c r="C75" i="72"/>
  <c r="DN73" i="72"/>
  <c r="DL74" i="72"/>
  <c r="DN74" i="72"/>
  <c r="BY87" i="72"/>
  <c r="BW88" i="72"/>
  <c r="BY88" i="72"/>
  <c r="BW89" i="72"/>
  <c r="CI92" i="72"/>
  <c r="CK92" i="72"/>
  <c r="CI93" i="72"/>
  <c r="CK91" i="72"/>
  <c r="DT76" i="72"/>
  <c r="DV76" i="72"/>
  <c r="DV75" i="72"/>
  <c r="CA90" i="72"/>
  <c r="CC90" i="72"/>
  <c r="CA91" i="72"/>
  <c r="CC89" i="72"/>
  <c r="I71" i="72"/>
  <c r="G72" i="72"/>
  <c r="I72" i="72"/>
  <c r="AI87" i="72"/>
  <c r="K69" i="72"/>
  <c r="Y79" i="72"/>
  <c r="W80" i="72"/>
  <c r="Y80" i="72"/>
  <c r="BS88" i="72"/>
  <c r="BU88" i="72"/>
  <c r="BS89" i="72"/>
  <c r="BU87" i="72"/>
  <c r="EN78" i="72"/>
  <c r="EP78" i="72"/>
  <c r="EP77" i="72"/>
  <c r="AM86" i="72"/>
  <c r="AO86" i="72"/>
  <c r="AM87" i="72"/>
  <c r="AO85" i="72"/>
  <c r="AM52" i="55"/>
  <c r="AO52" i="55"/>
  <c r="BO65" i="72"/>
  <c r="BR64" i="72"/>
  <c r="AY61" i="72"/>
  <c r="BB60" i="72"/>
  <c r="BK65" i="72"/>
  <c r="BN64" i="72"/>
  <c r="A53" i="48"/>
  <c r="A45" i="64"/>
  <c r="A42" i="65" s="1"/>
  <c r="K54" i="55"/>
  <c r="N53" i="55"/>
  <c r="AX62" i="72"/>
  <c r="AU63" i="72"/>
  <c r="AK60" i="55"/>
  <c r="AL60" i="55"/>
  <c r="AI61" i="55"/>
  <c r="AK61" i="55"/>
  <c r="U58" i="55"/>
  <c r="V58" i="55"/>
  <c r="S59" i="55"/>
  <c r="U59" i="55"/>
  <c r="AE62" i="55"/>
  <c r="AH61" i="55"/>
  <c r="O58" i="55"/>
  <c r="R57" i="55"/>
  <c r="C54" i="55"/>
  <c r="F53" i="55"/>
  <c r="AA59" i="55"/>
  <c r="AC59" i="55"/>
  <c r="AC58" i="55"/>
  <c r="AD58" i="55"/>
  <c r="O88" i="72"/>
  <c r="Q88" i="72"/>
  <c r="O89" i="72"/>
  <c r="Q87" i="72"/>
  <c r="W59" i="55"/>
  <c r="Y59" i="55"/>
  <c r="Y58" i="55"/>
  <c r="Z58" i="55"/>
  <c r="I56" i="55"/>
  <c r="J56" i="55"/>
  <c r="G57" i="55"/>
  <c r="I57" i="55"/>
  <c r="CI94" i="72"/>
  <c r="CK94" i="72"/>
  <c r="CI95" i="72"/>
  <c r="CK93" i="72"/>
  <c r="G73" i="72"/>
  <c r="DL75" i="72"/>
  <c r="AS89" i="72"/>
  <c r="AQ90" i="72"/>
  <c r="AS90" i="72"/>
  <c r="DJ75" i="72"/>
  <c r="DH76" i="72"/>
  <c r="DJ76" i="72"/>
  <c r="M69" i="72"/>
  <c r="K70" i="72"/>
  <c r="M70" i="72"/>
  <c r="CA92" i="72"/>
  <c r="CC92" i="72"/>
  <c r="CA93" i="72"/>
  <c r="CC91" i="72"/>
  <c r="AA80" i="72"/>
  <c r="AC80" i="72"/>
  <c r="AC79" i="72"/>
  <c r="W81" i="72"/>
  <c r="BW90" i="72"/>
  <c r="BY90" i="72"/>
  <c r="BW91" i="72"/>
  <c r="BY89" i="72"/>
  <c r="BJ62" i="72"/>
  <c r="BG63" i="72"/>
  <c r="CG91" i="72"/>
  <c r="CE92" i="72"/>
  <c r="CG92" i="72"/>
  <c r="CE93" i="72"/>
  <c r="U73" i="72"/>
  <c r="S74" i="72"/>
  <c r="U74" i="72"/>
  <c r="BU89" i="72"/>
  <c r="BS90" i="72"/>
  <c r="BU90" i="72"/>
  <c r="BS91" i="72"/>
  <c r="AK87" i="72"/>
  <c r="AI88" i="72"/>
  <c r="AK88" i="72"/>
  <c r="DT77" i="72"/>
  <c r="E75" i="72"/>
  <c r="C76" i="72"/>
  <c r="E76" i="72"/>
  <c r="AE81" i="72"/>
  <c r="DX77" i="72"/>
  <c r="BC63" i="72"/>
  <c r="BF62" i="72"/>
  <c r="AM88" i="72"/>
  <c r="AO88" i="72"/>
  <c r="AM89" i="72"/>
  <c r="AO87" i="72"/>
  <c r="BA61" i="72"/>
  <c r="BB61" i="72"/>
  <c r="AY62" i="72"/>
  <c r="BA62" i="72"/>
  <c r="BK66" i="72"/>
  <c r="BM66" i="72"/>
  <c r="BM65" i="72"/>
  <c r="BN65" i="72"/>
  <c r="BQ65" i="72"/>
  <c r="BR65" i="72"/>
  <c r="BO66" i="72"/>
  <c r="BQ66" i="72"/>
  <c r="AM53" i="55"/>
  <c r="AN53" i="55" s="1"/>
  <c r="A57" i="48"/>
  <c r="F31" i="48"/>
  <c r="F28" i="64"/>
  <c r="A47" i="64"/>
  <c r="M54" i="55"/>
  <c r="N54" i="55"/>
  <c r="AM54" i="55" s="1"/>
  <c r="AO54" i="55" s="1"/>
  <c r="K55" i="55"/>
  <c r="M55" i="55"/>
  <c r="AW63" i="72"/>
  <c r="AX63" i="72"/>
  <c r="AU64" i="72"/>
  <c r="AW64" i="72"/>
  <c r="C55" i="55"/>
  <c r="E55" i="55"/>
  <c r="E54" i="55"/>
  <c r="F54" i="55"/>
  <c r="W60" i="55"/>
  <c r="Z59" i="55"/>
  <c r="AE63" i="55"/>
  <c r="AG63" i="55"/>
  <c r="AG62" i="55"/>
  <c r="AH62" i="55"/>
  <c r="AI62" i="55"/>
  <c r="AL61" i="55"/>
  <c r="G58" i="55"/>
  <c r="J57" i="55"/>
  <c r="AA60" i="55"/>
  <c r="Q58" i="55"/>
  <c r="O59" i="55"/>
  <c r="Q59" i="55"/>
  <c r="S60" i="55"/>
  <c r="V59" i="55"/>
  <c r="Q89" i="72"/>
  <c r="O90" i="72"/>
  <c r="Q90" i="72"/>
  <c r="O91" i="72"/>
  <c r="AI89" i="72"/>
  <c r="BE63" i="72"/>
  <c r="BF63" i="72"/>
  <c r="BC64" i="72"/>
  <c r="BE64" i="72"/>
  <c r="AG81" i="72"/>
  <c r="AE82" i="72"/>
  <c r="AG82" i="72"/>
  <c r="BW92" i="72"/>
  <c r="BY92" i="72"/>
  <c r="BW93" i="72"/>
  <c r="BY91" i="72"/>
  <c r="W82" i="72"/>
  <c r="Y82" i="72"/>
  <c r="Y81" i="72"/>
  <c r="AA81" i="72"/>
  <c r="CE94" i="72"/>
  <c r="CG94" i="72"/>
  <c r="CE95" i="72"/>
  <c r="CG93" i="72"/>
  <c r="K71" i="72"/>
  <c r="DL76" i="72"/>
  <c r="DN76" i="72"/>
  <c r="DN75" i="72"/>
  <c r="BU91" i="72"/>
  <c r="BS92" i="72"/>
  <c r="BU92" i="72"/>
  <c r="BG64" i="72"/>
  <c r="BI64" i="72"/>
  <c r="BI63" i="72"/>
  <c r="BJ63" i="72"/>
  <c r="AQ91" i="72"/>
  <c r="C77" i="72"/>
  <c r="S75" i="72"/>
  <c r="DX78" i="72"/>
  <c r="DZ78" i="72"/>
  <c r="DZ77" i="72"/>
  <c r="DV77" i="72"/>
  <c r="DT78" i="72"/>
  <c r="DV78" i="72"/>
  <c r="CC93" i="72"/>
  <c r="CA94" i="72"/>
  <c r="CC94" i="72"/>
  <c r="CA95" i="72"/>
  <c r="I73" i="72"/>
  <c r="G74" i="72"/>
  <c r="I74" i="72"/>
  <c r="CI96" i="72"/>
  <c r="CK96" i="72"/>
  <c r="CI97" i="72"/>
  <c r="CK95" i="72"/>
  <c r="AM90" i="72"/>
  <c r="AO90" i="72"/>
  <c r="AM91" i="72"/>
  <c r="AO89" i="72"/>
  <c r="BN66" i="72"/>
  <c r="BK67" i="72"/>
  <c r="BR66" i="72"/>
  <c r="BO67" i="72"/>
  <c r="AY63" i="72"/>
  <c r="BB62" i="72"/>
  <c r="A51" i="64"/>
  <c r="A59" i="48"/>
  <c r="A52" i="64"/>
  <c r="A63" i="65" s="1"/>
  <c r="N55" i="55"/>
  <c r="K56" i="55"/>
  <c r="AU65" i="72"/>
  <c r="AX64" i="72"/>
  <c r="O60" i="55"/>
  <c r="R59" i="55"/>
  <c r="I58" i="55"/>
  <c r="J58" i="55"/>
  <c r="G59" i="55"/>
  <c r="I59" i="55"/>
  <c r="AE64" i="55"/>
  <c r="AH63" i="55"/>
  <c r="AA61" i="55"/>
  <c r="AC61" i="55"/>
  <c r="AC60" i="55"/>
  <c r="AD60" i="55"/>
  <c r="AI63" i="55"/>
  <c r="AK63" i="55"/>
  <c r="AK62" i="55"/>
  <c r="AL62" i="55"/>
  <c r="C56" i="55"/>
  <c r="F55" i="55"/>
  <c r="AM55" i="55" s="1"/>
  <c r="AN55" i="55" s="1"/>
  <c r="O92" i="72"/>
  <c r="Q92" i="72"/>
  <c r="O93" i="72"/>
  <c r="Q91" i="72"/>
  <c r="S61" i="55"/>
  <c r="U61" i="55"/>
  <c r="U60" i="55"/>
  <c r="V60" i="55"/>
  <c r="Y60" i="55"/>
  <c r="Z60" i="55"/>
  <c r="W61" i="55"/>
  <c r="Y61" i="55"/>
  <c r="C78" i="72"/>
  <c r="E78" i="72"/>
  <c r="E77" i="72"/>
  <c r="BG65" i="72"/>
  <c r="BJ64" i="72"/>
  <c r="M71" i="72"/>
  <c r="K72" i="72"/>
  <c r="M72" i="72"/>
  <c r="AA82" i="72"/>
  <c r="AC82" i="72"/>
  <c r="AC81" i="72"/>
  <c r="BW94" i="72"/>
  <c r="BY94" i="72"/>
  <c r="BW95" i="72"/>
  <c r="BY93" i="72"/>
  <c r="CC95" i="72"/>
  <c r="CA96" i="72"/>
  <c r="CC96" i="72"/>
  <c r="BS93" i="72"/>
  <c r="AE83" i="72"/>
  <c r="G75" i="72"/>
  <c r="BC65" i="72"/>
  <c r="BF64" i="72"/>
  <c r="CK97" i="72"/>
  <c r="CI98" i="72"/>
  <c r="CK98" i="72"/>
  <c r="CI99" i="72"/>
  <c r="S76" i="72"/>
  <c r="U76" i="72"/>
  <c r="U75" i="72"/>
  <c r="AQ92" i="72"/>
  <c r="AS92" i="72"/>
  <c r="AS91" i="72"/>
  <c r="CE96" i="72"/>
  <c r="CG96" i="72"/>
  <c r="CG95" i="72"/>
  <c r="W83" i="72"/>
  <c r="AK89" i="72"/>
  <c r="AI90" i="72"/>
  <c r="AK90" i="72"/>
  <c r="AM92" i="72"/>
  <c r="AO92" i="72"/>
  <c r="AM93" i="72"/>
  <c r="AO91" i="72"/>
  <c r="BQ67" i="72"/>
  <c r="BR67" i="72"/>
  <c r="BO68" i="72"/>
  <c r="BQ68" i="72"/>
  <c r="BM67" i="72"/>
  <c r="BN67" i="72"/>
  <c r="BK68" i="72"/>
  <c r="BM68" i="72"/>
  <c r="AY64" i="72"/>
  <c r="BA64" i="72"/>
  <c r="BA63" i="72"/>
  <c r="BB63" i="72"/>
  <c r="A53" i="64"/>
  <c r="A60" i="48"/>
  <c r="M56" i="55"/>
  <c r="N56" i="55"/>
  <c r="K57" i="55"/>
  <c r="M57" i="55"/>
  <c r="AU66" i="72"/>
  <c r="AW66" i="72"/>
  <c r="AW65" i="72"/>
  <c r="AX65" i="72"/>
  <c r="Q93" i="72"/>
  <c r="O94" i="72"/>
  <c r="Q94" i="72"/>
  <c r="O95" i="72"/>
  <c r="Q95" i="72"/>
  <c r="AA62" i="55"/>
  <c r="AG64" i="55"/>
  <c r="AH64" i="55"/>
  <c r="AE65" i="55"/>
  <c r="AG65" i="55"/>
  <c r="Q60" i="55"/>
  <c r="O61" i="55"/>
  <c r="Q61" i="55"/>
  <c r="V61" i="55"/>
  <c r="S62" i="55"/>
  <c r="J59" i="55"/>
  <c r="G60" i="55"/>
  <c r="Z61" i="55"/>
  <c r="W62" i="55"/>
  <c r="E56" i="55"/>
  <c r="F56" i="55"/>
  <c r="C57" i="55"/>
  <c r="E57" i="55"/>
  <c r="AL63" i="55"/>
  <c r="AI64" i="55"/>
  <c r="CK99" i="72"/>
  <c r="CI100" i="72"/>
  <c r="CK100" i="72"/>
  <c r="CI101" i="72"/>
  <c r="CA97" i="72"/>
  <c r="K73" i="72"/>
  <c r="AQ93" i="72"/>
  <c r="BS94" i="72"/>
  <c r="BU94" i="72"/>
  <c r="BU93" i="72"/>
  <c r="AI91" i="72"/>
  <c r="Y83" i="72"/>
  <c r="W84" i="72"/>
  <c r="Y84" i="72"/>
  <c r="I75" i="72"/>
  <c r="G76" i="72"/>
  <c r="I76" i="72"/>
  <c r="BW96" i="72"/>
  <c r="BY96" i="72"/>
  <c r="BW97" i="72"/>
  <c r="BY95" i="72"/>
  <c r="BI65" i="72"/>
  <c r="BJ65" i="72"/>
  <c r="BG66" i="72"/>
  <c r="BI66" i="72"/>
  <c r="CE97" i="72"/>
  <c r="S77" i="72"/>
  <c r="BC66" i="72"/>
  <c r="BE66" i="72"/>
  <c r="BE65" i="72"/>
  <c r="BF65" i="72"/>
  <c r="AE84" i="72"/>
  <c r="AG84" i="72"/>
  <c r="AG83" i="72"/>
  <c r="O96" i="72"/>
  <c r="Q96" i="72"/>
  <c r="AA83" i="72"/>
  <c r="C79" i="72"/>
  <c r="AM56" i="55"/>
  <c r="AO56" i="55" s="1"/>
  <c r="AM94" i="72"/>
  <c r="AO94" i="72"/>
  <c r="AM95" i="72"/>
  <c r="AO93" i="72"/>
  <c r="BN68" i="72"/>
  <c r="BK69" i="72"/>
  <c r="BO69" i="72"/>
  <c r="BR68" i="72"/>
  <c r="AY65" i="72"/>
  <c r="BB64" i="72"/>
  <c r="A61" i="48"/>
  <c r="A54" i="64"/>
  <c r="N57" i="55"/>
  <c r="K58" i="55"/>
  <c r="AX66" i="72"/>
  <c r="AU67" i="72"/>
  <c r="AK64" i="55"/>
  <c r="AL64" i="55"/>
  <c r="AI65" i="55"/>
  <c r="AK65" i="55"/>
  <c r="O62" i="55"/>
  <c r="R61" i="55"/>
  <c r="Y62" i="55"/>
  <c r="Z62" i="55"/>
  <c r="W63" i="55"/>
  <c r="Y63" i="55"/>
  <c r="AC62" i="55"/>
  <c r="AD62" i="55"/>
  <c r="AA63" i="55"/>
  <c r="AC63" i="55"/>
  <c r="C58" i="55"/>
  <c r="F57" i="55"/>
  <c r="AE66" i="55"/>
  <c r="AH65" i="55"/>
  <c r="I60" i="55"/>
  <c r="J60" i="55"/>
  <c r="G61" i="55"/>
  <c r="I61" i="55"/>
  <c r="S63" i="55"/>
  <c r="U63" i="55"/>
  <c r="U62" i="55"/>
  <c r="V62" i="55"/>
  <c r="G77" i="72"/>
  <c r="C80" i="72"/>
  <c r="E80" i="72"/>
  <c r="E79" i="72"/>
  <c r="AE85" i="72"/>
  <c r="S78" i="72"/>
  <c r="U78" i="72"/>
  <c r="U77" i="72"/>
  <c r="AS93" i="72"/>
  <c r="AQ94" i="72"/>
  <c r="AS94" i="72"/>
  <c r="CA98" i="72"/>
  <c r="CC98" i="72"/>
  <c r="CC97" i="72"/>
  <c r="BG67" i="72"/>
  <c r="BJ66" i="72"/>
  <c r="O97" i="72"/>
  <c r="W85" i="72"/>
  <c r="CI102" i="72"/>
  <c r="CK102" i="72"/>
  <c r="CI103" i="72"/>
  <c r="CK101" i="72"/>
  <c r="AA84" i="72"/>
  <c r="AC84" i="72"/>
  <c r="AC83" i="72"/>
  <c r="BF66" i="72"/>
  <c r="BC67" i="72"/>
  <c r="CE98" i="72"/>
  <c r="CG98" i="72"/>
  <c r="CG97" i="72"/>
  <c r="BW98" i="72"/>
  <c r="BY98" i="72"/>
  <c r="BW99" i="72"/>
  <c r="BY97" i="72"/>
  <c r="AI92" i="72"/>
  <c r="AK92" i="72"/>
  <c r="AK91" i="72"/>
  <c r="BS95" i="72"/>
  <c r="M73" i="72"/>
  <c r="K74" i="72"/>
  <c r="M74" i="72"/>
  <c r="AM57" i="55"/>
  <c r="AN57" i="55" s="1"/>
  <c r="AO95" i="72"/>
  <c r="AM96" i="72"/>
  <c r="AO96" i="72"/>
  <c r="AM97" i="72"/>
  <c r="BO70" i="72"/>
  <c r="BQ70" i="72"/>
  <c r="BQ69" i="72"/>
  <c r="BR69" i="72"/>
  <c r="BM69" i="72"/>
  <c r="BN69" i="72"/>
  <c r="BK70" i="72"/>
  <c r="BM70" i="72"/>
  <c r="BA65" i="72"/>
  <c r="BB65" i="72"/>
  <c r="AY66" i="72"/>
  <c r="BA66" i="72"/>
  <c r="A55" i="64"/>
  <c r="A62" i="48"/>
  <c r="M58" i="55"/>
  <c r="N58" i="55"/>
  <c r="K59" i="55"/>
  <c r="M59" i="55"/>
  <c r="AW67" i="72"/>
  <c r="AX67" i="72"/>
  <c r="AU68" i="72"/>
  <c r="AW68" i="72"/>
  <c r="V63" i="55"/>
  <c r="S64" i="55"/>
  <c r="C59" i="55"/>
  <c r="E59" i="55"/>
  <c r="E58" i="55"/>
  <c r="F58" i="55"/>
  <c r="J61" i="55"/>
  <c r="G62" i="55"/>
  <c r="AA64" i="55"/>
  <c r="Z63" i="55"/>
  <c r="W64" i="55"/>
  <c r="O63" i="55"/>
  <c r="Q63" i="55"/>
  <c r="Q62" i="55"/>
  <c r="AE67" i="55"/>
  <c r="AG67" i="55"/>
  <c r="AG66" i="55"/>
  <c r="AH66" i="55"/>
  <c r="AI66" i="55"/>
  <c r="AL65" i="55"/>
  <c r="BW100" i="72"/>
  <c r="BY100" i="72"/>
  <c r="BY99" i="72"/>
  <c r="Y85" i="72"/>
  <c r="W86" i="72"/>
  <c r="Y86" i="72"/>
  <c r="AE86" i="72"/>
  <c r="AG86" i="72"/>
  <c r="AG85" i="72"/>
  <c r="BE67" i="72"/>
  <c r="BF67" i="72"/>
  <c r="BC68" i="72"/>
  <c r="BE68" i="72"/>
  <c r="AQ95" i="72"/>
  <c r="BG68" i="72"/>
  <c r="BI68" i="72"/>
  <c r="BI67" i="72"/>
  <c r="BJ67" i="72"/>
  <c r="K75" i="72"/>
  <c r="BS96" i="72"/>
  <c r="BU96" i="72"/>
  <c r="BU95" i="72"/>
  <c r="AO97" i="72"/>
  <c r="AM98" i="72"/>
  <c r="AO98" i="72"/>
  <c r="C81" i="72"/>
  <c r="AI93" i="72"/>
  <c r="CE99" i="72"/>
  <c r="AA85" i="72"/>
  <c r="CK103" i="72"/>
  <c r="CI104" i="72"/>
  <c r="CK104" i="72"/>
  <c r="CI105" i="72"/>
  <c r="Q97" i="72"/>
  <c r="O98" i="72"/>
  <c r="Q98" i="72"/>
  <c r="CA99" i="72"/>
  <c r="S79" i="72"/>
  <c r="I77" i="72"/>
  <c r="G78" i="72"/>
  <c r="I78" i="72"/>
  <c r="BK71" i="72"/>
  <c r="BN70" i="72"/>
  <c r="AY67" i="72"/>
  <c r="BB66" i="72"/>
  <c r="BR70" i="72"/>
  <c r="BO71" i="72"/>
  <c r="AM58" i="55"/>
  <c r="AO58" i="55" s="1"/>
  <c r="A63" i="48"/>
  <c r="A56" i="64"/>
  <c r="F63" i="48"/>
  <c r="F57" i="64" s="1"/>
  <c r="K60" i="55"/>
  <c r="N59" i="55"/>
  <c r="AU69" i="72"/>
  <c r="AX68" i="72"/>
  <c r="AE68" i="55"/>
  <c r="AH67" i="55"/>
  <c r="O64" i="55"/>
  <c r="R63" i="55"/>
  <c r="AC64" i="55"/>
  <c r="AD64" i="55"/>
  <c r="AA65" i="55"/>
  <c r="AC65" i="55"/>
  <c r="G63" i="55"/>
  <c r="I63" i="55"/>
  <c r="I62" i="55"/>
  <c r="J62" i="55"/>
  <c r="C60" i="55"/>
  <c r="F59" i="55"/>
  <c r="AM59" i="55" s="1"/>
  <c r="AN59" i="55" s="1"/>
  <c r="W65" i="55"/>
  <c r="Y65" i="55"/>
  <c r="Y64" i="55"/>
  <c r="Z64" i="55"/>
  <c r="U64" i="55"/>
  <c r="V64" i="55"/>
  <c r="S65" i="55"/>
  <c r="U65" i="55"/>
  <c r="AK66" i="55"/>
  <c r="AL66" i="55"/>
  <c r="AI67" i="55"/>
  <c r="AK67" i="55"/>
  <c r="DL28" i="72"/>
  <c r="DH28" i="72"/>
  <c r="DD29" i="72"/>
  <c r="DG58" i="72" s="1"/>
  <c r="DG57" i="72"/>
  <c r="DX28" i="72"/>
  <c r="DT28" i="72"/>
  <c r="DG59" i="72"/>
  <c r="DG55" i="72"/>
  <c r="DG61" i="72"/>
  <c r="AC85" i="72"/>
  <c r="AA86" i="72"/>
  <c r="AC86" i="72"/>
  <c r="AI94" i="72"/>
  <c r="AK94" i="72"/>
  <c r="AK93" i="72"/>
  <c r="M75" i="72"/>
  <c r="K76" i="72"/>
  <c r="M76" i="72"/>
  <c r="BG69" i="72"/>
  <c r="BJ68" i="72"/>
  <c r="W87" i="72"/>
  <c r="G79" i="72"/>
  <c r="S80" i="72"/>
  <c r="U80" i="72"/>
  <c r="U79" i="72"/>
  <c r="CC99" i="72"/>
  <c r="CA100" i="72"/>
  <c r="CC100" i="72"/>
  <c r="CG99" i="72"/>
  <c r="CE100" i="72"/>
  <c r="CG100" i="72"/>
  <c r="E81" i="72"/>
  <c r="C82" i="72"/>
  <c r="E82" i="72"/>
  <c r="BS97" i="72"/>
  <c r="AQ96" i="72"/>
  <c r="AS96" i="72"/>
  <c r="AS95" i="72"/>
  <c r="CI106" i="72"/>
  <c r="CK106" i="72"/>
  <c r="CI107" i="72"/>
  <c r="CK105" i="72"/>
  <c r="O99" i="72"/>
  <c r="AM99" i="72"/>
  <c r="BF68" i="72"/>
  <c r="BC69" i="72"/>
  <c r="AE87" i="72"/>
  <c r="BW101" i="72"/>
  <c r="AY68" i="72"/>
  <c r="BA68" i="72"/>
  <c r="BA67" i="72"/>
  <c r="BB67" i="72"/>
  <c r="BO72" i="72"/>
  <c r="BQ72" i="72"/>
  <c r="BQ71" i="72"/>
  <c r="BR71" i="72"/>
  <c r="BM71" i="72"/>
  <c r="BN71" i="72"/>
  <c r="BK72" i="72"/>
  <c r="BM72" i="72"/>
  <c r="A57" i="64"/>
  <c r="A64" i="48"/>
  <c r="F65" i="48" s="1"/>
  <c r="F59" i="64" s="1"/>
  <c r="K61" i="55"/>
  <c r="M61" i="55"/>
  <c r="M60" i="55"/>
  <c r="N60" i="55"/>
  <c r="AU70" i="72"/>
  <c r="AW70" i="72"/>
  <c r="AW69" i="72"/>
  <c r="AX69" i="72"/>
  <c r="AI68" i="55"/>
  <c r="AL67" i="55"/>
  <c r="V65" i="55"/>
  <c r="S66" i="55"/>
  <c r="Z65" i="55"/>
  <c r="W66" i="55"/>
  <c r="E60" i="55"/>
  <c r="F60" i="55"/>
  <c r="C61" i="55"/>
  <c r="E61" i="55"/>
  <c r="O65" i="55"/>
  <c r="Q65" i="55"/>
  <c r="Q64" i="55"/>
  <c r="AA66" i="55"/>
  <c r="G64" i="55"/>
  <c r="J63" i="55"/>
  <c r="AE69" i="55"/>
  <c r="AG69" i="55"/>
  <c r="AG68" i="55"/>
  <c r="AH68" i="55"/>
  <c r="DG63" i="72"/>
  <c r="DG76" i="72"/>
  <c r="DT29" i="72"/>
  <c r="DW57" i="72"/>
  <c r="DW59" i="72"/>
  <c r="DW61" i="72"/>
  <c r="DH29" i="72"/>
  <c r="DK55" i="72"/>
  <c r="DK57" i="72"/>
  <c r="DK59" i="72"/>
  <c r="DK61" i="72"/>
  <c r="EB28" i="72"/>
  <c r="DX29" i="72"/>
  <c r="EA60" i="72" s="1"/>
  <c r="EA57" i="72"/>
  <c r="EA59" i="72"/>
  <c r="EA61" i="72"/>
  <c r="DP28" i="72"/>
  <c r="DS57" i="72" s="1"/>
  <c r="DL29" i="72"/>
  <c r="DO58" i="72" s="1"/>
  <c r="DO55" i="72"/>
  <c r="DO57" i="72"/>
  <c r="DO59" i="72"/>
  <c r="DO61" i="72"/>
  <c r="CE101" i="72"/>
  <c r="CI108" i="72"/>
  <c r="CK108" i="72"/>
  <c r="CI109" i="72"/>
  <c r="CK107" i="72"/>
  <c r="I79" i="72"/>
  <c r="G80" i="72"/>
  <c r="I80" i="72"/>
  <c r="AI95" i="72"/>
  <c r="BC70" i="72"/>
  <c r="BE70" i="72"/>
  <c r="BE69" i="72"/>
  <c r="BF69" i="72"/>
  <c r="C83" i="72"/>
  <c r="CA101" i="72"/>
  <c r="K77" i="72"/>
  <c r="AA87" i="72"/>
  <c r="AG87" i="72"/>
  <c r="AE88" i="72"/>
  <c r="AG88" i="72"/>
  <c r="AO99" i="72"/>
  <c r="AM100" i="72"/>
  <c r="AO100" i="72"/>
  <c r="BU97" i="72"/>
  <c r="BS98" i="72"/>
  <c r="BU98" i="72"/>
  <c r="S81" i="72"/>
  <c r="BI69" i="72"/>
  <c r="BJ69" i="72"/>
  <c r="BG70" i="72"/>
  <c r="BI70" i="72"/>
  <c r="BY101" i="72"/>
  <c r="BW102" i="72"/>
  <c r="BY102" i="72"/>
  <c r="O100" i="72"/>
  <c r="Q100" i="72"/>
  <c r="Q99" i="72"/>
  <c r="AQ97" i="72"/>
  <c r="W88" i="72"/>
  <c r="Y88" i="72"/>
  <c r="Y87" i="72"/>
  <c r="BO73" i="72"/>
  <c r="BR72" i="72"/>
  <c r="BN72" i="72"/>
  <c r="BK73" i="72"/>
  <c r="AY69" i="72"/>
  <c r="BB68" i="72"/>
  <c r="A65" i="48"/>
  <c r="A58" i="64"/>
  <c r="AM60" i="55"/>
  <c r="AO60" i="55"/>
  <c r="K62" i="55"/>
  <c r="N61" i="55"/>
  <c r="AU71" i="72"/>
  <c r="AX70" i="72"/>
  <c r="AE70" i="55"/>
  <c r="AH69" i="55"/>
  <c r="O66" i="55"/>
  <c r="R65" i="55"/>
  <c r="AI69" i="55"/>
  <c r="AK69" i="55"/>
  <c r="AK68" i="55"/>
  <c r="AL68" i="55"/>
  <c r="C62" i="55"/>
  <c r="F61" i="55"/>
  <c r="S67" i="55"/>
  <c r="U67" i="55"/>
  <c r="U66" i="55"/>
  <c r="V66" i="55"/>
  <c r="G65" i="55"/>
  <c r="I65" i="55"/>
  <c r="I64" i="55"/>
  <c r="J64" i="55"/>
  <c r="AC66" i="55"/>
  <c r="AD66" i="55"/>
  <c r="AA67" i="55"/>
  <c r="AC67" i="55"/>
  <c r="Y66" i="55"/>
  <c r="Z66" i="55"/>
  <c r="W67" i="55"/>
  <c r="Y67" i="55"/>
  <c r="EE57" i="72"/>
  <c r="EF28" i="72"/>
  <c r="EI57" i="72" s="1"/>
  <c r="EB29" i="72"/>
  <c r="EE58" i="72" s="1"/>
  <c r="EE59" i="72"/>
  <c r="EE61" i="72"/>
  <c r="DK56" i="72"/>
  <c r="DK58" i="72"/>
  <c r="DK60" i="72"/>
  <c r="DK62" i="72"/>
  <c r="DK63" i="72"/>
  <c r="DK64" i="72"/>
  <c r="DK65" i="72"/>
  <c r="DK66" i="72"/>
  <c r="DK67" i="72"/>
  <c r="DK68" i="72"/>
  <c r="DK69" i="72"/>
  <c r="DK70" i="72"/>
  <c r="DK72" i="72"/>
  <c r="DK71" i="72"/>
  <c r="DK73" i="72"/>
  <c r="DK74" i="72"/>
  <c r="DK76" i="72"/>
  <c r="DK75" i="72"/>
  <c r="DW58" i="72"/>
  <c r="DW60" i="72"/>
  <c r="DW62" i="72"/>
  <c r="DW63" i="72"/>
  <c r="DW64" i="72"/>
  <c r="DW66" i="72"/>
  <c r="DW65" i="72"/>
  <c r="DW67" i="72"/>
  <c r="DW68" i="72"/>
  <c r="DW70" i="72"/>
  <c r="DW69" i="72"/>
  <c r="DW71" i="72"/>
  <c r="DW72" i="72"/>
  <c r="DW74" i="72"/>
  <c r="DW73" i="72"/>
  <c r="DW75" i="72"/>
  <c r="DW76" i="72"/>
  <c r="DW78" i="72"/>
  <c r="DW77" i="72"/>
  <c r="DO56" i="72"/>
  <c r="DO63" i="72"/>
  <c r="DO67" i="72"/>
  <c r="DO71" i="72"/>
  <c r="DO75" i="72"/>
  <c r="DS55" i="72"/>
  <c r="EV55" i="72" s="1"/>
  <c r="EA58" i="72"/>
  <c r="EA63" i="72"/>
  <c r="EA68" i="72"/>
  <c r="EA72" i="72"/>
  <c r="EA75" i="72"/>
  <c r="BJ70" i="72"/>
  <c r="BG71" i="72"/>
  <c r="CC101" i="72"/>
  <c r="CA102" i="72"/>
  <c r="CC102" i="72"/>
  <c r="W89" i="72"/>
  <c r="U81" i="72"/>
  <c r="S82" i="72"/>
  <c r="U82" i="72"/>
  <c r="AM101" i="72"/>
  <c r="M77" i="72"/>
  <c r="K78" i="72"/>
  <c r="M78" i="72"/>
  <c r="AQ98" i="72"/>
  <c r="AS98" i="72"/>
  <c r="AS97" i="72"/>
  <c r="O101" i="72"/>
  <c r="AK95" i="72"/>
  <c r="AI96" i="72"/>
  <c r="AK96" i="72"/>
  <c r="CI110" i="72"/>
  <c r="CK110" i="72"/>
  <c r="CK109" i="72"/>
  <c r="BS99" i="72"/>
  <c r="BF70" i="72"/>
  <c r="BC71" i="72"/>
  <c r="CE102" i="72"/>
  <c r="CG102" i="72"/>
  <c r="CG101" i="72"/>
  <c r="BW103" i="72"/>
  <c r="AE89" i="72"/>
  <c r="AC87" i="72"/>
  <c r="AA88" i="72"/>
  <c r="AC88" i="72"/>
  <c r="E83" i="72"/>
  <c r="C84" i="72"/>
  <c r="E84" i="72"/>
  <c r="G81" i="72"/>
  <c r="AM61" i="55"/>
  <c r="AN61" i="55"/>
  <c r="BM73" i="72"/>
  <c r="BN73" i="72"/>
  <c r="BK74" i="72"/>
  <c r="BM74" i="72"/>
  <c r="BA69" i="72"/>
  <c r="BB69" i="72"/>
  <c r="AY70" i="72"/>
  <c r="BA70" i="72"/>
  <c r="BO74" i="72"/>
  <c r="BQ74" i="72"/>
  <c r="BQ73" i="72"/>
  <c r="BR73" i="72"/>
  <c r="F67" i="48"/>
  <c r="F61" i="64"/>
  <c r="A67" i="48"/>
  <c r="A59" i="64"/>
  <c r="M62" i="55"/>
  <c r="N62" i="55"/>
  <c r="K63" i="55"/>
  <c r="M63" i="55"/>
  <c r="AW71" i="72"/>
  <c r="AX71" i="72"/>
  <c r="AU72" i="72"/>
  <c r="AW72" i="72"/>
  <c r="S68" i="55"/>
  <c r="V67" i="55"/>
  <c r="C63" i="55"/>
  <c r="E63" i="55"/>
  <c r="E62" i="55"/>
  <c r="F62" i="55"/>
  <c r="Q66" i="55"/>
  <c r="O67" i="55"/>
  <c r="Q67" i="55"/>
  <c r="G66" i="55"/>
  <c r="J65" i="55"/>
  <c r="AE71" i="55"/>
  <c r="AG71" i="55"/>
  <c r="AH71" i="55"/>
  <c r="AG70" i="55"/>
  <c r="AH70" i="55"/>
  <c r="W68" i="55"/>
  <c r="Z67" i="55"/>
  <c r="AA68" i="55"/>
  <c r="AL69" i="55"/>
  <c r="AI70" i="55"/>
  <c r="EE64" i="72"/>
  <c r="EE67" i="72"/>
  <c r="EE71" i="72"/>
  <c r="EE75" i="72"/>
  <c r="EJ28" i="72"/>
  <c r="EJ29" i="72" s="1"/>
  <c r="C85" i="72"/>
  <c r="O102" i="72"/>
  <c r="Q102" i="72"/>
  <c r="Q101" i="72"/>
  <c r="AM102" i="72"/>
  <c r="AO102" i="72"/>
  <c r="AO101" i="72"/>
  <c r="I81" i="72"/>
  <c r="G82" i="72"/>
  <c r="I82" i="72"/>
  <c r="BW104" i="72"/>
  <c r="BY104" i="72"/>
  <c r="BY103" i="72"/>
  <c r="BE71" i="72"/>
  <c r="BF71" i="72"/>
  <c r="BC72" i="72"/>
  <c r="BE72" i="72"/>
  <c r="AI97" i="72"/>
  <c r="BI71" i="72"/>
  <c r="BJ71" i="72"/>
  <c r="BG72" i="72"/>
  <c r="BI72" i="72"/>
  <c r="AE90" i="72"/>
  <c r="AG90" i="72"/>
  <c r="AG89" i="72"/>
  <c r="K79" i="72"/>
  <c r="S83" i="72"/>
  <c r="CA103" i="72"/>
  <c r="W90" i="72"/>
  <c r="Y90" i="72"/>
  <c r="Y89" i="72"/>
  <c r="AA89" i="72"/>
  <c r="CE103" i="72"/>
  <c r="BU99" i="72"/>
  <c r="BS100" i="72"/>
  <c r="BU100" i="72"/>
  <c r="CI111" i="72"/>
  <c r="AQ99" i="72"/>
  <c r="AM62" i="55"/>
  <c r="AO62" i="55" s="1"/>
  <c r="BB70" i="72"/>
  <c r="AY71" i="72"/>
  <c r="BN74" i="72"/>
  <c r="BK75" i="72"/>
  <c r="BR74" i="72"/>
  <c r="BO75" i="72"/>
  <c r="A69" i="48"/>
  <c r="A61" i="64"/>
  <c r="F69" i="48"/>
  <c r="F63" i="64" s="1"/>
  <c r="N63" i="55"/>
  <c r="AM63" i="55" s="1"/>
  <c r="AN63" i="55" s="1"/>
  <c r="K64" i="55"/>
  <c r="AX72" i="72"/>
  <c r="AU73" i="72"/>
  <c r="U68" i="55"/>
  <c r="V68" i="55"/>
  <c r="S69" i="55"/>
  <c r="U69" i="55"/>
  <c r="AA69" i="55"/>
  <c r="AC69" i="55"/>
  <c r="AC68" i="55"/>
  <c r="AD68" i="55"/>
  <c r="G67" i="55"/>
  <c r="I67" i="55"/>
  <c r="I66" i="55"/>
  <c r="J66" i="55"/>
  <c r="C64" i="55"/>
  <c r="F63" i="55"/>
  <c r="AK70" i="55"/>
  <c r="AL70" i="55"/>
  <c r="AI71" i="55"/>
  <c r="AK71" i="55"/>
  <c r="AL71" i="55"/>
  <c r="W69" i="55"/>
  <c r="Y69" i="55"/>
  <c r="Y68" i="55"/>
  <c r="Z68" i="55"/>
  <c r="O68" i="55"/>
  <c r="R67" i="55"/>
  <c r="W91" i="72"/>
  <c r="O103" i="72"/>
  <c r="AQ100" i="72"/>
  <c r="AS100" i="72"/>
  <c r="AS99" i="72"/>
  <c r="CE104" i="72"/>
  <c r="CG104" i="72"/>
  <c r="CG103" i="72"/>
  <c r="BS101" i="72"/>
  <c r="AE91" i="72"/>
  <c r="AK97" i="72"/>
  <c r="AI98" i="72"/>
  <c r="AK98" i="72"/>
  <c r="BW105" i="72"/>
  <c r="AM103" i="72"/>
  <c r="C86" i="72"/>
  <c r="E86" i="72"/>
  <c r="E85" i="72"/>
  <c r="CK111" i="72"/>
  <c r="CI112" i="72"/>
  <c r="CK112" i="72"/>
  <c r="S84" i="72"/>
  <c r="U84" i="72"/>
  <c r="U83" i="72"/>
  <c r="AA90" i="72"/>
  <c r="AC90" i="72"/>
  <c r="AC89" i="72"/>
  <c r="CC103" i="72"/>
  <c r="CA104" i="72"/>
  <c r="CC104" i="72"/>
  <c r="K80" i="72"/>
  <c r="M80" i="72"/>
  <c r="M79" i="72"/>
  <c r="BG73" i="72"/>
  <c r="BJ72" i="72"/>
  <c r="BF72" i="72"/>
  <c r="BC73" i="72"/>
  <c r="G83" i="72"/>
  <c r="BM75" i="72"/>
  <c r="BN75" i="72"/>
  <c r="BK76" i="72"/>
  <c r="BM76" i="72"/>
  <c r="BN76" i="72"/>
  <c r="BO76" i="72"/>
  <c r="BQ76" i="72"/>
  <c r="BR76" i="72"/>
  <c r="BQ75" i="72"/>
  <c r="BR75" i="72"/>
  <c r="AY72" i="72"/>
  <c r="BA72" i="72"/>
  <c r="BA71" i="72"/>
  <c r="BB71" i="72"/>
  <c r="A74" i="48"/>
  <c r="F34" i="48"/>
  <c r="F31" i="64" s="1"/>
  <c r="A63" i="64"/>
  <c r="F239" i="48"/>
  <c r="F225" i="64"/>
  <c r="M64" i="55"/>
  <c r="N64" i="55"/>
  <c r="K65" i="55"/>
  <c r="M65" i="55"/>
  <c r="AW73" i="72"/>
  <c r="AX73" i="72"/>
  <c r="AU74" i="72"/>
  <c r="AW74" i="72"/>
  <c r="G68" i="55"/>
  <c r="J67" i="55"/>
  <c r="E64" i="55"/>
  <c r="F64" i="55"/>
  <c r="AM64" i="55" s="1"/>
  <c r="AO64" i="55" s="1"/>
  <c r="C65" i="55"/>
  <c r="E65" i="55"/>
  <c r="O69" i="55"/>
  <c r="Q69" i="55"/>
  <c r="Q68" i="55"/>
  <c r="Z69" i="55"/>
  <c r="W70" i="55"/>
  <c r="S70" i="55"/>
  <c r="V69" i="55"/>
  <c r="AA70" i="55"/>
  <c r="CA105" i="72"/>
  <c r="AI99" i="72"/>
  <c r="AO103" i="72"/>
  <c r="AM104" i="72"/>
  <c r="AO104" i="72"/>
  <c r="BS102" i="72"/>
  <c r="BU102" i="72"/>
  <c r="BU101" i="72"/>
  <c r="AQ101" i="72"/>
  <c r="CI113" i="72"/>
  <c r="G84" i="72"/>
  <c r="I84" i="72"/>
  <c r="I83" i="72"/>
  <c r="BI73" i="72"/>
  <c r="BJ73" i="72"/>
  <c r="BG74" i="72"/>
  <c r="BI74" i="72"/>
  <c r="BC74" i="72"/>
  <c r="BE74" i="72"/>
  <c r="BE73" i="72"/>
  <c r="BF73" i="72"/>
  <c r="K81" i="72"/>
  <c r="AA91" i="72"/>
  <c r="S85" i="72"/>
  <c r="C87" i="72"/>
  <c r="BW106" i="72"/>
  <c r="BY106" i="72"/>
  <c r="BY105" i="72"/>
  <c r="AG91" i="72"/>
  <c r="AE92" i="72"/>
  <c r="AG92" i="72"/>
  <c r="CE105" i="72"/>
  <c r="O104" i="72"/>
  <c r="Q104" i="72"/>
  <c r="Q103" i="72"/>
  <c r="Y91" i="72"/>
  <c r="W92" i="72"/>
  <c r="Y92" i="72"/>
  <c r="BB72" i="72"/>
  <c r="AY73" i="72"/>
  <c r="A68" i="64"/>
  <c r="A75" i="48"/>
  <c r="K66" i="55"/>
  <c r="N65" i="55"/>
  <c r="AX74" i="72"/>
  <c r="AU75" i="72"/>
  <c r="AC70" i="55"/>
  <c r="AD70" i="55"/>
  <c r="AA71" i="55"/>
  <c r="AC71" i="55"/>
  <c r="S71" i="55"/>
  <c r="U71" i="55"/>
  <c r="V71" i="55"/>
  <c r="U70" i="55"/>
  <c r="V70" i="55"/>
  <c r="O70" i="55"/>
  <c r="R69" i="55"/>
  <c r="G69" i="55"/>
  <c r="I69" i="55"/>
  <c r="I68" i="55"/>
  <c r="J68" i="55"/>
  <c r="Y70" i="55"/>
  <c r="Z70" i="55"/>
  <c r="W71" i="55"/>
  <c r="Y71" i="55"/>
  <c r="Z71" i="55"/>
  <c r="C66" i="55"/>
  <c r="F65" i="55"/>
  <c r="D21" i="71"/>
  <c r="D23" i="71" s="1"/>
  <c r="H260" i="48" s="1"/>
  <c r="AI100" i="72"/>
  <c r="AK100" i="72"/>
  <c r="AK99" i="72"/>
  <c r="CE106" i="72"/>
  <c r="CG106" i="72"/>
  <c r="CG105" i="72"/>
  <c r="BW107" i="72"/>
  <c r="U85" i="72"/>
  <c r="S86" i="72"/>
  <c r="U86" i="72"/>
  <c r="K82" i="72"/>
  <c r="M82" i="72"/>
  <c r="M81" i="72"/>
  <c r="CK113" i="72"/>
  <c r="CI114" i="72"/>
  <c r="CK114" i="72"/>
  <c r="BS103" i="72"/>
  <c r="AM105" i="72"/>
  <c r="O105" i="72"/>
  <c r="C88" i="72"/>
  <c r="E88" i="72"/>
  <c r="E87" i="72"/>
  <c r="AA92" i="72"/>
  <c r="AC92" i="72"/>
  <c r="AC91" i="72"/>
  <c r="BC75" i="72"/>
  <c r="BF74" i="72"/>
  <c r="G85" i="72"/>
  <c r="AS101" i="72"/>
  <c r="AQ102" i="72"/>
  <c r="AS102" i="72"/>
  <c r="AE93" i="72"/>
  <c r="W93" i="72"/>
  <c r="BG75" i="72"/>
  <c r="BJ74" i="72"/>
  <c r="CC105" i="72"/>
  <c r="CA106" i="72"/>
  <c r="CC106" i="72"/>
  <c r="AM65" i="55"/>
  <c r="AN65" i="55"/>
  <c r="BA73" i="72"/>
  <c r="BB73" i="72"/>
  <c r="AY74" i="72"/>
  <c r="BA74" i="72"/>
  <c r="A76" i="48"/>
  <c r="F77" i="48"/>
  <c r="F73" i="64" s="1"/>
  <c r="A71" i="64"/>
  <c r="A23" i="65" s="1"/>
  <c r="M66" i="55"/>
  <c r="N66" i="55"/>
  <c r="K67" i="55"/>
  <c r="M67" i="55"/>
  <c r="AW75" i="72"/>
  <c r="AX75" i="72"/>
  <c r="AU76" i="72"/>
  <c r="AW76" i="72"/>
  <c r="AX76" i="72"/>
  <c r="Q70" i="55"/>
  <c r="O71" i="55"/>
  <c r="Q71" i="55"/>
  <c r="R71" i="55"/>
  <c r="G70" i="55"/>
  <c r="J69" i="55"/>
  <c r="C67" i="55"/>
  <c r="E67" i="55"/>
  <c r="E66" i="55"/>
  <c r="F66" i="55"/>
  <c r="BC76" i="72"/>
  <c r="BE76" i="72"/>
  <c r="BF76" i="72"/>
  <c r="BE75" i="72"/>
  <c r="BF75" i="72"/>
  <c r="AQ103" i="72"/>
  <c r="CE107" i="72"/>
  <c r="C89" i="72"/>
  <c r="AO105" i="72"/>
  <c r="AM106" i="72"/>
  <c r="AO106" i="72"/>
  <c r="BS104" i="72"/>
  <c r="BU104" i="72"/>
  <c r="BU103" i="72"/>
  <c r="K83" i="72"/>
  <c r="BY107" i="72"/>
  <c r="BW108" i="72"/>
  <c r="BY108" i="72"/>
  <c r="AI101" i="72"/>
  <c r="Y93" i="72"/>
  <c r="W94" i="72"/>
  <c r="Y94" i="72"/>
  <c r="CA107" i="72"/>
  <c r="BI75" i="72"/>
  <c r="BJ75" i="72"/>
  <c r="BG76" i="72"/>
  <c r="BI76" i="72"/>
  <c r="BJ76" i="72"/>
  <c r="AE94" i="72"/>
  <c r="AG94" i="72"/>
  <c r="AG93" i="72"/>
  <c r="G86" i="72"/>
  <c r="I86" i="72"/>
  <c r="I85" i="72"/>
  <c r="AA93" i="72"/>
  <c r="O106" i="72"/>
  <c r="Q106" i="72"/>
  <c r="Q105" i="72"/>
  <c r="CI115" i="72"/>
  <c r="S87" i="72"/>
  <c r="BB74" i="72"/>
  <c r="AY75" i="72"/>
  <c r="A77" i="48"/>
  <c r="A72" i="64"/>
  <c r="AM66" i="55"/>
  <c r="AO66" i="55" s="1"/>
  <c r="K68" i="55"/>
  <c r="N67" i="55"/>
  <c r="C68" i="55"/>
  <c r="F67" i="55"/>
  <c r="G71" i="55"/>
  <c r="I71" i="55"/>
  <c r="J71" i="55"/>
  <c r="I70" i="55"/>
  <c r="J70" i="55"/>
  <c r="AA94" i="72"/>
  <c r="AC94" i="72"/>
  <c r="AC93" i="72"/>
  <c r="CC107" i="72"/>
  <c r="CA108" i="72"/>
  <c r="CC108" i="72"/>
  <c r="AK101" i="72"/>
  <c r="AI102" i="72"/>
  <c r="AK102" i="72"/>
  <c r="K84" i="72"/>
  <c r="M84" i="72"/>
  <c r="M83" i="72"/>
  <c r="AM107" i="72"/>
  <c r="AS103" i="72"/>
  <c r="AQ104" i="72"/>
  <c r="AS104" i="72"/>
  <c r="G87" i="72"/>
  <c r="W95" i="72"/>
  <c r="BW109" i="72"/>
  <c r="CG107" i="72"/>
  <c r="CE108" i="72"/>
  <c r="CG108" i="72"/>
  <c r="CI116" i="72"/>
  <c r="CK116" i="72"/>
  <c r="CK115" i="72"/>
  <c r="AE95" i="72"/>
  <c r="E89" i="72"/>
  <c r="C90" i="72"/>
  <c r="E90" i="72"/>
  <c r="U87" i="72"/>
  <c r="S88" i="72"/>
  <c r="U88" i="72"/>
  <c r="O107" i="72"/>
  <c r="BS105" i="72"/>
  <c r="AY76" i="72"/>
  <c r="BA76" i="72"/>
  <c r="BB76" i="72"/>
  <c r="BA75" i="72"/>
  <c r="BB75" i="72"/>
  <c r="A80" i="48"/>
  <c r="A147" i="65"/>
  <c r="A73" i="64"/>
  <c r="AM67" i="55"/>
  <c r="AN67" i="55" s="1"/>
  <c r="K69" i="55"/>
  <c r="M69" i="55"/>
  <c r="M68" i="55"/>
  <c r="N68" i="55"/>
  <c r="C69" i="55"/>
  <c r="E69" i="55"/>
  <c r="E68" i="55"/>
  <c r="F68" i="55"/>
  <c r="CI117" i="72"/>
  <c r="BW110" i="72"/>
  <c r="BY110" i="72"/>
  <c r="BY109" i="72"/>
  <c r="G88" i="72"/>
  <c r="I88" i="72"/>
  <c r="I87" i="72"/>
  <c r="AM108" i="72"/>
  <c r="AO108" i="72"/>
  <c r="AO107" i="72"/>
  <c r="C91" i="72"/>
  <c r="AI103" i="72"/>
  <c r="BU105" i="72"/>
  <c r="BS106" i="72"/>
  <c r="BU106" i="72"/>
  <c r="CE109" i="72"/>
  <c r="AQ105" i="72"/>
  <c r="CA109" i="72"/>
  <c r="O108" i="72"/>
  <c r="Q108" i="72"/>
  <c r="Q107" i="72"/>
  <c r="S89" i="72"/>
  <c r="AE96" i="72"/>
  <c r="AG96" i="72"/>
  <c r="AG95" i="72"/>
  <c r="W96" i="72"/>
  <c r="Y96" i="72"/>
  <c r="Y95" i="72"/>
  <c r="K85" i="72"/>
  <c r="AA95" i="72"/>
  <c r="AM68" i="55"/>
  <c r="AO68" i="55"/>
  <c r="N69" i="55"/>
  <c r="K70" i="55"/>
  <c r="F69" i="55"/>
  <c r="AM69" i="55"/>
  <c r="AN69" i="55" s="1"/>
  <c r="C70" i="55"/>
  <c r="E70" i="55"/>
  <c r="F70" i="55"/>
  <c r="K86" i="72"/>
  <c r="M86" i="72"/>
  <c r="M85" i="72"/>
  <c r="AE97" i="72"/>
  <c r="O109" i="72"/>
  <c r="BS107" i="72"/>
  <c r="G89" i="72"/>
  <c r="AA96" i="72"/>
  <c r="AC96" i="72"/>
  <c r="AC95" i="72"/>
  <c r="W97" i="72"/>
  <c r="S90" i="72"/>
  <c r="U90" i="72"/>
  <c r="U89" i="72"/>
  <c r="CC109" i="72"/>
  <c r="CA110" i="72"/>
  <c r="CC110" i="72"/>
  <c r="AQ106" i="72"/>
  <c r="AS106" i="72"/>
  <c r="AS105" i="72"/>
  <c r="C92" i="72"/>
  <c r="E92" i="72"/>
  <c r="E91" i="72"/>
  <c r="CI118" i="72"/>
  <c r="CK118" i="72"/>
  <c r="CK117" i="72"/>
  <c r="CE110" i="72"/>
  <c r="CG110" i="72"/>
  <c r="CG109" i="72"/>
  <c r="AK103" i="72"/>
  <c r="AI104" i="72"/>
  <c r="AK104" i="72"/>
  <c r="AM109" i="72"/>
  <c r="BW111" i="72"/>
  <c r="K71" i="55"/>
  <c r="M71" i="55"/>
  <c r="N71" i="55"/>
  <c r="AM71" i="55" s="1"/>
  <c r="AN71" i="55" s="1"/>
  <c r="M70" i="55"/>
  <c r="N70" i="55"/>
  <c r="AM70" i="55" s="1"/>
  <c r="AO70" i="55" s="1"/>
  <c r="AO109" i="72"/>
  <c r="AM110" i="72"/>
  <c r="AO110" i="72"/>
  <c r="CA111" i="72"/>
  <c r="AI105" i="72"/>
  <c r="C93" i="72"/>
  <c r="W98" i="72"/>
  <c r="Y98" i="72"/>
  <c r="Y97" i="72"/>
  <c r="G90" i="72"/>
  <c r="I90" i="72"/>
  <c r="I89" i="72"/>
  <c r="BU107" i="72"/>
  <c r="BS108" i="72"/>
  <c r="BU108" i="72"/>
  <c r="AE98" i="72"/>
  <c r="AG98" i="72"/>
  <c r="AG97" i="72"/>
  <c r="CE111" i="72"/>
  <c r="BW112" i="72"/>
  <c r="BY112" i="72"/>
  <c r="BY111" i="72"/>
  <c r="CI119" i="72"/>
  <c r="AQ107" i="72"/>
  <c r="S91" i="72"/>
  <c r="AA97" i="72"/>
  <c r="Q109" i="72"/>
  <c r="O110" i="72"/>
  <c r="Q110" i="72"/>
  <c r="K87" i="72"/>
  <c r="U91" i="72"/>
  <c r="S92" i="72"/>
  <c r="U92" i="72"/>
  <c r="CI120" i="72"/>
  <c r="CK120" i="72"/>
  <c r="CK119" i="72"/>
  <c r="AE99" i="72"/>
  <c r="C94" i="72"/>
  <c r="E94" i="72"/>
  <c r="E93" i="72"/>
  <c r="M87" i="72"/>
  <c r="K88" i="72"/>
  <c r="M88" i="72"/>
  <c r="AA98" i="72"/>
  <c r="AC98" i="72"/>
  <c r="AC97" i="72"/>
  <c r="AS107" i="72"/>
  <c r="AQ108" i="72"/>
  <c r="AS108" i="72"/>
  <c r="CE112" i="72"/>
  <c r="CG112" i="72"/>
  <c r="CG111" i="72"/>
  <c r="BS109" i="72"/>
  <c r="AM111" i="72"/>
  <c r="G91" i="72"/>
  <c r="CA112" i="72"/>
  <c r="CC112" i="72"/>
  <c r="CC111" i="72"/>
  <c r="O111" i="72"/>
  <c r="BW113" i="72"/>
  <c r="W99" i="72"/>
  <c r="AK105" i="72"/>
  <c r="AI106" i="72"/>
  <c r="AK106" i="72"/>
  <c r="Y99" i="72"/>
  <c r="W100" i="72"/>
  <c r="Y100" i="72"/>
  <c r="K89" i="72"/>
  <c r="AI107" i="72"/>
  <c r="Q111" i="72"/>
  <c r="O112" i="72"/>
  <c r="Q112" i="72"/>
  <c r="I91" i="72"/>
  <c r="G92" i="72"/>
  <c r="I92" i="72"/>
  <c r="BS110" i="72"/>
  <c r="BU110" i="72"/>
  <c r="BU109" i="72"/>
  <c r="AG99" i="72"/>
  <c r="AE100" i="72"/>
  <c r="AG100" i="72"/>
  <c r="S93" i="72"/>
  <c r="CI121" i="72"/>
  <c r="BY113" i="72"/>
  <c r="BW114" i="72"/>
  <c r="BY114" i="72"/>
  <c r="AQ109" i="72"/>
  <c r="CA113" i="72"/>
  <c r="AO111" i="72"/>
  <c r="AM112" i="72"/>
  <c r="AO112" i="72"/>
  <c r="CE113" i="72"/>
  <c r="AA99" i="72"/>
  <c r="C95" i="72"/>
  <c r="AC99" i="72"/>
  <c r="AA100" i="72"/>
  <c r="AC100" i="72"/>
  <c r="AQ110" i="72"/>
  <c r="AS110" i="72"/>
  <c r="AS109" i="72"/>
  <c r="U93" i="72"/>
  <c r="S94" i="72"/>
  <c r="U94" i="72"/>
  <c r="CI122" i="72"/>
  <c r="CK122" i="72"/>
  <c r="CK121" i="72"/>
  <c r="AE101" i="72"/>
  <c r="G93" i="72"/>
  <c r="W101" i="72"/>
  <c r="AM113" i="72"/>
  <c r="O113" i="72"/>
  <c r="BS111" i="72"/>
  <c r="M89" i="72"/>
  <c r="K90" i="72"/>
  <c r="M90" i="72"/>
  <c r="E95" i="72"/>
  <c r="C96" i="72"/>
  <c r="E96" i="72"/>
  <c r="CE114" i="72"/>
  <c r="CG114" i="72"/>
  <c r="CG113" i="72"/>
  <c r="CC113" i="72"/>
  <c r="CA114" i="72"/>
  <c r="CC114" i="72"/>
  <c r="BW115" i="72"/>
  <c r="AI108" i="72"/>
  <c r="AK108" i="72"/>
  <c r="AK107" i="72"/>
  <c r="BY115" i="72"/>
  <c r="BW116" i="72"/>
  <c r="BY116" i="72"/>
  <c r="CE115" i="72"/>
  <c r="AQ111" i="72"/>
  <c r="CI123" i="72"/>
  <c r="AI109" i="72"/>
  <c r="CA115" i="72"/>
  <c r="C97" i="72"/>
  <c r="Q113" i="72"/>
  <c r="O114" i="72"/>
  <c r="Q114" i="72"/>
  <c r="Y101" i="72"/>
  <c r="W102" i="72"/>
  <c r="Y102" i="72"/>
  <c r="AE102" i="72"/>
  <c r="AG102" i="72"/>
  <c r="AG101" i="72"/>
  <c r="S95" i="72"/>
  <c r="AA101" i="72"/>
  <c r="K91" i="72"/>
  <c r="AO113" i="72"/>
  <c r="AM114" i="72"/>
  <c r="AO114" i="72"/>
  <c r="G94" i="72"/>
  <c r="I94" i="72"/>
  <c r="I93" i="72"/>
  <c r="BS112" i="72"/>
  <c r="BU112" i="72"/>
  <c r="BU111" i="72"/>
  <c r="W103" i="72"/>
  <c r="BS113" i="72"/>
  <c r="AC101" i="72"/>
  <c r="AA102" i="72"/>
  <c r="AC102" i="72"/>
  <c r="AE103" i="72"/>
  <c r="CC115" i="72"/>
  <c r="CA116" i="72"/>
  <c r="CC116" i="72"/>
  <c r="CI124" i="72"/>
  <c r="CK124" i="72"/>
  <c r="CK123" i="72"/>
  <c r="CE116" i="72"/>
  <c r="CG116" i="72"/>
  <c r="CG115" i="72"/>
  <c r="G95" i="72"/>
  <c r="M91" i="72"/>
  <c r="K92" i="72"/>
  <c r="M92" i="72"/>
  <c r="U95" i="72"/>
  <c r="S96" i="72"/>
  <c r="U96" i="72"/>
  <c r="C98" i="72"/>
  <c r="E98" i="72"/>
  <c r="E97" i="72"/>
  <c r="AI110" i="72"/>
  <c r="AK110" i="72"/>
  <c r="AK109" i="72"/>
  <c r="AQ112" i="72"/>
  <c r="AS112" i="72"/>
  <c r="AS111" i="72"/>
  <c r="BW117" i="72"/>
  <c r="AM115" i="72"/>
  <c r="O115" i="72"/>
  <c r="AM116" i="72"/>
  <c r="AO116" i="72"/>
  <c r="AO115" i="72"/>
  <c r="CA117" i="72"/>
  <c r="BW118" i="72"/>
  <c r="BY118" i="72"/>
  <c r="BY117" i="72"/>
  <c r="AI111" i="72"/>
  <c r="I95" i="72"/>
  <c r="G96" i="72"/>
  <c r="I96" i="72"/>
  <c r="CI125" i="72"/>
  <c r="BU113" i="72"/>
  <c r="BS114" i="72"/>
  <c r="BU114" i="72"/>
  <c r="AQ113" i="72"/>
  <c r="C99" i="72"/>
  <c r="CE117" i="72"/>
  <c r="AA103" i="72"/>
  <c r="K93" i="72"/>
  <c r="AG103" i="72"/>
  <c r="AE104" i="72"/>
  <c r="AG104" i="72"/>
  <c r="Q115" i="72"/>
  <c r="O116" i="72"/>
  <c r="Q116" i="72"/>
  <c r="S97" i="72"/>
  <c r="W104" i="72"/>
  <c r="Y104" i="72"/>
  <c r="Y103" i="72"/>
  <c r="CK125" i="72"/>
  <c r="CI126" i="72"/>
  <c r="CK126" i="72"/>
  <c r="K94" i="72"/>
  <c r="M94" i="72"/>
  <c r="M93" i="72"/>
  <c r="CG117" i="72"/>
  <c r="CE118" i="72"/>
  <c r="CG118" i="72"/>
  <c r="AS113" i="72"/>
  <c r="AQ114" i="72"/>
  <c r="AS114" i="72"/>
  <c r="CA118" i="72"/>
  <c r="CC118" i="72"/>
  <c r="CC117" i="72"/>
  <c r="W105" i="72"/>
  <c r="U97" i="72"/>
  <c r="S98" i="72"/>
  <c r="U98" i="72"/>
  <c r="AA104" i="72"/>
  <c r="AC104" i="72"/>
  <c r="AC103" i="72"/>
  <c r="E99" i="72"/>
  <c r="C100" i="72"/>
  <c r="E100" i="72"/>
  <c r="BS115" i="72"/>
  <c r="G97" i="72"/>
  <c r="AE105" i="72"/>
  <c r="AK111" i="72"/>
  <c r="AI112" i="72"/>
  <c r="AK112" i="72"/>
  <c r="O117" i="72"/>
  <c r="BW119" i="72"/>
  <c r="AM117" i="72"/>
  <c r="BW120" i="72"/>
  <c r="BY120" i="72"/>
  <c r="BY119" i="72"/>
  <c r="AI113" i="72"/>
  <c r="C101" i="72"/>
  <c r="S99" i="72"/>
  <c r="K95" i="72"/>
  <c r="G98" i="72"/>
  <c r="I98" i="72"/>
  <c r="I97" i="72"/>
  <c r="CE119" i="72"/>
  <c r="AO117" i="72"/>
  <c r="AM118" i="72"/>
  <c r="AO118" i="72"/>
  <c r="CI127" i="72"/>
  <c r="CA119" i="72"/>
  <c r="O118" i="72"/>
  <c r="Q118" i="72"/>
  <c r="Q117" i="72"/>
  <c r="AG105" i="72"/>
  <c r="AE106" i="72"/>
  <c r="AG106" i="72"/>
  <c r="BS116" i="72"/>
  <c r="BU116" i="72"/>
  <c r="BU115" i="72"/>
  <c r="AA105" i="72"/>
  <c r="Y105" i="72"/>
  <c r="W106" i="72"/>
  <c r="Y106" i="72"/>
  <c r="AQ115" i="72"/>
  <c r="G99" i="72"/>
  <c r="O119" i="72"/>
  <c r="CK127" i="72"/>
  <c r="CI128" i="72"/>
  <c r="CK128" i="72"/>
  <c r="AK113" i="72"/>
  <c r="AI114" i="72"/>
  <c r="AK114" i="72"/>
  <c r="W107" i="72"/>
  <c r="U99" i="72"/>
  <c r="S100" i="72"/>
  <c r="U100" i="72"/>
  <c r="AE107" i="72"/>
  <c r="CE120" i="72"/>
  <c r="CG120" i="72"/>
  <c r="CG119" i="72"/>
  <c r="M95" i="72"/>
  <c r="K96" i="72"/>
  <c r="M96" i="72"/>
  <c r="C102" i="72"/>
  <c r="E102" i="72"/>
  <c r="E101" i="72"/>
  <c r="BS117" i="72"/>
  <c r="AQ116" i="72"/>
  <c r="AS116" i="72"/>
  <c r="AS115" i="72"/>
  <c r="AA106" i="72"/>
  <c r="AC106" i="72"/>
  <c r="AC105" i="72"/>
  <c r="CC119" i="72"/>
  <c r="CA120" i="72"/>
  <c r="CC120" i="72"/>
  <c r="AM119" i="72"/>
  <c r="BW121" i="72"/>
  <c r="AM120" i="72"/>
  <c r="AO120" i="72"/>
  <c r="AO119" i="72"/>
  <c r="K97" i="72"/>
  <c r="C103" i="72"/>
  <c r="CE121" i="72"/>
  <c r="O120" i="72"/>
  <c r="Q120" i="72"/>
  <c r="Q119" i="72"/>
  <c r="BS118" i="72"/>
  <c r="BU118" i="72"/>
  <c r="BU117" i="72"/>
  <c r="CI129" i="72"/>
  <c r="BW122" i="72"/>
  <c r="BY122" i="72"/>
  <c r="BY121" i="72"/>
  <c r="AE108" i="72"/>
  <c r="AG108" i="72"/>
  <c r="AG107" i="72"/>
  <c r="Y107" i="72"/>
  <c r="W108" i="72"/>
  <c r="Y108" i="72"/>
  <c r="G100" i="72"/>
  <c r="I100" i="72"/>
  <c r="I99" i="72"/>
  <c r="AA107" i="72"/>
  <c r="CA121" i="72"/>
  <c r="AQ117" i="72"/>
  <c r="S101" i="72"/>
  <c r="AI115" i="72"/>
  <c r="W109" i="72"/>
  <c r="S102" i="72"/>
  <c r="U102" i="72"/>
  <c r="U101" i="72"/>
  <c r="CA122" i="72"/>
  <c r="CC122" i="72"/>
  <c r="CC121" i="72"/>
  <c r="BW123" i="72"/>
  <c r="BS119" i="72"/>
  <c r="CG121" i="72"/>
  <c r="CE122" i="72"/>
  <c r="CG122" i="72"/>
  <c r="M97" i="72"/>
  <c r="K98" i="72"/>
  <c r="M98" i="72"/>
  <c r="AA108" i="72"/>
  <c r="AC108" i="72"/>
  <c r="AC107" i="72"/>
  <c r="G101" i="72"/>
  <c r="AK115" i="72"/>
  <c r="AI116" i="72"/>
  <c r="AK116" i="72"/>
  <c r="AQ118" i="72"/>
  <c r="AS118" i="72"/>
  <c r="AS117" i="72"/>
  <c r="AE109" i="72"/>
  <c r="CK129" i="72"/>
  <c r="CI130" i="72"/>
  <c r="CK130" i="72"/>
  <c r="O121" i="72"/>
  <c r="E103" i="72"/>
  <c r="C104" i="72"/>
  <c r="E104" i="72"/>
  <c r="AM121" i="72"/>
  <c r="S103" i="72"/>
  <c r="AQ119" i="72"/>
  <c r="AA109" i="72"/>
  <c r="AM122" i="72"/>
  <c r="AO122" i="72"/>
  <c r="AO121" i="72"/>
  <c r="Q121" i="72"/>
  <c r="O122" i="72"/>
  <c r="Q122" i="72"/>
  <c r="AE110" i="72"/>
  <c r="AG110" i="72"/>
  <c r="AG109" i="72"/>
  <c r="I101" i="72"/>
  <c r="G102" i="72"/>
  <c r="I102" i="72"/>
  <c r="BU119" i="72"/>
  <c r="BS120" i="72"/>
  <c r="BU120" i="72"/>
  <c r="BW124" i="72"/>
  <c r="BY124" i="72"/>
  <c r="BY123" i="72"/>
  <c r="AI117" i="72"/>
  <c r="K99" i="72"/>
  <c r="C105" i="72"/>
  <c r="CI131" i="72"/>
  <c r="CE123" i="72"/>
  <c r="CA123" i="72"/>
  <c r="Y109" i="72"/>
  <c r="W110" i="72"/>
  <c r="Y110" i="72"/>
  <c r="K100" i="72"/>
  <c r="M100" i="72"/>
  <c r="M99" i="72"/>
  <c r="AE111" i="72"/>
  <c r="W111" i="72"/>
  <c r="BW125" i="72"/>
  <c r="G103" i="72"/>
  <c r="O123" i="72"/>
  <c r="AQ120" i="72"/>
  <c r="AS120" i="72"/>
  <c r="AS119" i="72"/>
  <c r="CK131" i="72"/>
  <c r="CI132" i="72"/>
  <c r="CK132" i="72"/>
  <c r="CE124" i="72"/>
  <c r="CG124" i="72"/>
  <c r="CG123" i="72"/>
  <c r="C106" i="72"/>
  <c r="E106" i="72"/>
  <c r="E105" i="72"/>
  <c r="AK117" i="72"/>
  <c r="AI118" i="72"/>
  <c r="AK118" i="72"/>
  <c r="CA124" i="72"/>
  <c r="CC124" i="72"/>
  <c r="CC123" i="72"/>
  <c r="AM123" i="72"/>
  <c r="BS121" i="72"/>
  <c r="AC109" i="72"/>
  <c r="AA110" i="72"/>
  <c r="AC110" i="72"/>
  <c r="U103" i="72"/>
  <c r="S104" i="72"/>
  <c r="U104" i="72"/>
  <c r="S105" i="72"/>
  <c r="AO123" i="72"/>
  <c r="AM124" i="72"/>
  <c r="AO124" i="72"/>
  <c r="C107" i="72"/>
  <c r="O124" i="72"/>
  <c r="Q124" i="72"/>
  <c r="Q123" i="72"/>
  <c r="BY125" i="72"/>
  <c r="BW126" i="72"/>
  <c r="BY126" i="72"/>
  <c r="AG111" i="72"/>
  <c r="AE112" i="72"/>
  <c r="AG112" i="72"/>
  <c r="BU121" i="72"/>
  <c r="BS122" i="72"/>
  <c r="BU122" i="72"/>
  <c r="AI119" i="72"/>
  <c r="AA111" i="72"/>
  <c r="CA125" i="72"/>
  <c r="CE125" i="72"/>
  <c r="AQ121" i="72"/>
  <c r="I103" i="72"/>
  <c r="G104" i="72"/>
  <c r="I104" i="72"/>
  <c r="W112" i="72"/>
  <c r="Y112" i="72"/>
  <c r="Y111" i="72"/>
  <c r="K101" i="72"/>
  <c r="BW127" i="72"/>
  <c r="W113" i="72"/>
  <c r="AQ122" i="72"/>
  <c r="AS122" i="72"/>
  <c r="AS121" i="72"/>
  <c r="CA126" i="72"/>
  <c r="CC126" i="72"/>
  <c r="CC125" i="72"/>
  <c r="AK119" i="72"/>
  <c r="AI120" i="72"/>
  <c r="AK120" i="72"/>
  <c r="G105" i="72"/>
  <c r="BS123" i="72"/>
  <c r="AE113" i="72"/>
  <c r="E107" i="72"/>
  <c r="C108" i="72"/>
  <c r="E108" i="72"/>
  <c r="S106" i="72"/>
  <c r="U106" i="72"/>
  <c r="U105" i="72"/>
  <c r="M101" i="72"/>
  <c r="K102" i="72"/>
  <c r="M102" i="72"/>
  <c r="CG125" i="72"/>
  <c r="CE126" i="72"/>
  <c r="CG126" i="72"/>
  <c r="AC111" i="72"/>
  <c r="AA112" i="72"/>
  <c r="AC112" i="72"/>
  <c r="O125" i="72"/>
  <c r="AM125" i="72"/>
  <c r="AQ123" i="72"/>
  <c r="AA113" i="72"/>
  <c r="S107" i="72"/>
  <c r="AO125" i="72"/>
  <c r="AM126" i="72"/>
  <c r="AO126" i="72"/>
  <c r="K103" i="72"/>
  <c r="C109" i="72"/>
  <c r="AG113" i="72"/>
  <c r="AE114" i="72"/>
  <c r="AG114" i="72"/>
  <c r="G106" i="72"/>
  <c r="I106" i="72"/>
  <c r="I105" i="72"/>
  <c r="CA127" i="72"/>
  <c r="W114" i="72"/>
  <c r="Y114" i="72"/>
  <c r="Y113" i="72"/>
  <c r="O126" i="72"/>
  <c r="Q126" i="72"/>
  <c r="Q125" i="72"/>
  <c r="BS124" i="72"/>
  <c r="BU124" i="72"/>
  <c r="BU123" i="72"/>
  <c r="CE127" i="72"/>
  <c r="AI121" i="72"/>
  <c r="BY127" i="72"/>
  <c r="BW128" i="72"/>
  <c r="BY128" i="72"/>
  <c r="BW129" i="72"/>
  <c r="BS125" i="72"/>
  <c r="W115" i="72"/>
  <c r="G107" i="72"/>
  <c r="C110" i="72"/>
  <c r="E110" i="72"/>
  <c r="E109" i="72"/>
  <c r="AE115" i="72"/>
  <c r="AA114" i="72"/>
  <c r="AC114" i="72"/>
  <c r="AC113" i="72"/>
  <c r="CE128" i="72"/>
  <c r="CG128" i="72"/>
  <c r="CG127" i="72"/>
  <c r="O127" i="72"/>
  <c r="CC127" i="72"/>
  <c r="CA128" i="72"/>
  <c r="CC128" i="72"/>
  <c r="K104" i="72"/>
  <c r="M104" i="72"/>
  <c r="M103" i="72"/>
  <c r="AK121" i="72"/>
  <c r="AI122" i="72"/>
  <c r="AK122" i="72"/>
  <c r="AM127" i="72"/>
  <c r="S108" i="72"/>
  <c r="U108" i="72"/>
  <c r="U107" i="72"/>
  <c r="AS123" i="72"/>
  <c r="AQ124" i="72"/>
  <c r="AS124" i="72"/>
  <c r="AQ125" i="72"/>
  <c r="CE129" i="72"/>
  <c r="AG115" i="72"/>
  <c r="AE116" i="72"/>
  <c r="AG116" i="72"/>
  <c r="AO127" i="72"/>
  <c r="AM128" i="72"/>
  <c r="AO128" i="72"/>
  <c r="G108" i="72"/>
  <c r="I108" i="72"/>
  <c r="I107" i="72"/>
  <c r="BS126" i="72"/>
  <c r="BU126" i="72"/>
  <c r="BU125" i="72"/>
  <c r="K105" i="72"/>
  <c r="O128" i="72"/>
  <c r="Q128" i="72"/>
  <c r="Q127" i="72"/>
  <c r="AA115" i="72"/>
  <c r="S109" i="72"/>
  <c r="AI123" i="72"/>
  <c r="CA129" i="72"/>
  <c r="C111" i="72"/>
  <c r="Y115" i="72"/>
  <c r="W116" i="72"/>
  <c r="Y116" i="72"/>
  <c r="BY129" i="72"/>
  <c r="BW130" i="72"/>
  <c r="BY130" i="72"/>
  <c r="BW131" i="72"/>
  <c r="E111" i="72"/>
  <c r="C112" i="72"/>
  <c r="E112" i="72"/>
  <c r="AK123" i="72"/>
  <c r="AI124" i="72"/>
  <c r="AK124" i="72"/>
  <c r="AA116" i="72"/>
  <c r="AC116" i="72"/>
  <c r="AC115" i="72"/>
  <c r="M105" i="72"/>
  <c r="K106" i="72"/>
  <c r="M106" i="72"/>
  <c r="G109" i="72"/>
  <c r="CE130" i="72"/>
  <c r="CG130" i="72"/>
  <c r="CG129" i="72"/>
  <c r="CC129" i="72"/>
  <c r="CA130" i="72"/>
  <c r="CC130" i="72"/>
  <c r="W117" i="72"/>
  <c r="AE117" i="72"/>
  <c r="U109" i="72"/>
  <c r="S110" i="72"/>
  <c r="U110" i="72"/>
  <c r="O129" i="72"/>
  <c r="BS127" i="72"/>
  <c r="AM129" i="72"/>
  <c r="AS125" i="72"/>
  <c r="AQ126" i="72"/>
  <c r="AS126" i="72"/>
  <c r="AQ127" i="72"/>
  <c r="S111" i="72"/>
  <c r="I109" i="72"/>
  <c r="G110" i="72"/>
  <c r="I110" i="72"/>
  <c r="AA117" i="72"/>
  <c r="BU127" i="72"/>
  <c r="BS128" i="72"/>
  <c r="BU128" i="72"/>
  <c r="K107" i="72"/>
  <c r="AI125" i="72"/>
  <c r="Y117" i="72"/>
  <c r="W118" i="72"/>
  <c r="Y118" i="72"/>
  <c r="CE131" i="72"/>
  <c r="AM130" i="72"/>
  <c r="AO130" i="72"/>
  <c r="AO129" i="72"/>
  <c r="Q129" i="72"/>
  <c r="O130" i="72"/>
  <c r="Q130" i="72"/>
  <c r="AG117" i="72"/>
  <c r="AE118" i="72"/>
  <c r="AG118" i="72"/>
  <c r="CA131" i="72"/>
  <c r="C113" i="72"/>
  <c r="BW132" i="72"/>
  <c r="BY132" i="72"/>
  <c r="BY131" i="72"/>
  <c r="AM131" i="72"/>
  <c r="O131" i="72"/>
  <c r="M107" i="72"/>
  <c r="K108" i="72"/>
  <c r="M108" i="72"/>
  <c r="AA118" i="72"/>
  <c r="AC118" i="72"/>
  <c r="AC117" i="72"/>
  <c r="S112" i="72"/>
  <c r="U112" i="72"/>
  <c r="U111" i="72"/>
  <c r="CC131" i="72"/>
  <c r="CA132" i="72"/>
  <c r="CC132" i="72"/>
  <c r="CG131" i="72"/>
  <c r="CE132" i="72"/>
  <c r="CG132" i="72"/>
  <c r="BS129" i="72"/>
  <c r="G111" i="72"/>
  <c r="E113" i="72"/>
  <c r="C114" i="72"/>
  <c r="E114" i="72"/>
  <c r="AE119" i="72"/>
  <c r="W119" i="72"/>
  <c r="AI126" i="72"/>
  <c r="AK126" i="72"/>
  <c r="AK125" i="72"/>
  <c r="AS127" i="72"/>
  <c r="AQ128" i="72"/>
  <c r="AS128" i="72"/>
  <c r="W120" i="72"/>
  <c r="Y120" i="72"/>
  <c r="Y119" i="72"/>
  <c r="BS130" i="72"/>
  <c r="BU130" i="72"/>
  <c r="BU129" i="72"/>
  <c r="AA119" i="72"/>
  <c r="Q131" i="72"/>
  <c r="O132" i="72"/>
  <c r="Q132" i="72"/>
  <c r="AQ129" i="72"/>
  <c r="AI127" i="72"/>
  <c r="AG119" i="72"/>
  <c r="AE120" i="72"/>
  <c r="AG120" i="72"/>
  <c r="I111" i="72"/>
  <c r="G112" i="72"/>
  <c r="I112" i="72"/>
  <c r="K109" i="72"/>
  <c r="C115" i="72"/>
  <c r="S113" i="72"/>
  <c r="AO131" i="72"/>
  <c r="AM132" i="72"/>
  <c r="AO132" i="72"/>
  <c r="AE121" i="72"/>
  <c r="U113" i="72"/>
  <c r="S114" i="72"/>
  <c r="U114" i="72"/>
  <c r="M109" i="72"/>
  <c r="K110" i="72"/>
  <c r="M110" i="72"/>
  <c r="AS129" i="72"/>
  <c r="AQ130" i="72"/>
  <c r="AS130" i="72"/>
  <c r="AA120" i="72"/>
  <c r="AC120" i="72"/>
  <c r="AC119" i="72"/>
  <c r="BS131" i="72"/>
  <c r="G113" i="72"/>
  <c r="E115" i="72"/>
  <c r="C116" i="72"/>
  <c r="E116" i="72"/>
  <c r="AI128" i="72"/>
  <c r="AK128" i="72"/>
  <c r="AK127" i="72"/>
  <c r="W121" i="72"/>
  <c r="AQ131" i="72"/>
  <c r="S115" i="72"/>
  <c r="AI129" i="72"/>
  <c r="BU131" i="72"/>
  <c r="BS132" i="72"/>
  <c r="BU132" i="72"/>
  <c r="W122" i="72"/>
  <c r="Y122" i="72"/>
  <c r="Y121" i="72"/>
  <c r="K111" i="72"/>
  <c r="C117" i="72"/>
  <c r="I113" i="72"/>
  <c r="G114" i="72"/>
  <c r="I114" i="72"/>
  <c r="AA121" i="72"/>
  <c r="AG121" i="72"/>
  <c r="AE122" i="72"/>
  <c r="AG122" i="72"/>
  <c r="K112" i="72"/>
  <c r="M112" i="72"/>
  <c r="M111" i="72"/>
  <c r="U115" i="72"/>
  <c r="S116" i="72"/>
  <c r="U116" i="72"/>
  <c r="AC121" i="72"/>
  <c r="AA122" i="72"/>
  <c r="AC122" i="72"/>
  <c r="C118" i="72"/>
  <c r="E118" i="72"/>
  <c r="E117" i="72"/>
  <c r="AE123" i="72"/>
  <c r="G115" i="72"/>
  <c r="W123" i="72"/>
  <c r="AI130" i="72"/>
  <c r="AK130" i="72"/>
  <c r="AK129" i="72"/>
  <c r="AQ132" i="72"/>
  <c r="AS132" i="72"/>
  <c r="AS131" i="72"/>
  <c r="AE124" i="72"/>
  <c r="AG124" i="72"/>
  <c r="AG123" i="72"/>
  <c r="K113" i="72"/>
  <c r="AI131" i="72"/>
  <c r="I115" i="72"/>
  <c r="G116" i="72"/>
  <c r="I116" i="72"/>
  <c r="C119" i="72"/>
  <c r="AA123" i="72"/>
  <c r="W124" i="72"/>
  <c r="Y124" i="72"/>
  <c r="Y123" i="72"/>
  <c r="S117" i="72"/>
  <c r="G117" i="72"/>
  <c r="K114" i="72"/>
  <c r="M114" i="72"/>
  <c r="M113" i="72"/>
  <c r="S118" i="72"/>
  <c r="U118" i="72"/>
  <c r="U117" i="72"/>
  <c r="AA124" i="72"/>
  <c r="AC124" i="72"/>
  <c r="AC123" i="72"/>
  <c r="W125" i="72"/>
  <c r="C120" i="72"/>
  <c r="E120" i="72"/>
  <c r="E119" i="72"/>
  <c r="AK131" i="72"/>
  <c r="AI132" i="72"/>
  <c r="AK132" i="72"/>
  <c r="AE125" i="72"/>
  <c r="AG125" i="72"/>
  <c r="AE126" i="72"/>
  <c r="AG126" i="72"/>
  <c r="C121" i="72"/>
  <c r="AA125" i="72"/>
  <c r="K115" i="72"/>
  <c r="W126" i="72"/>
  <c r="Y126" i="72"/>
  <c r="Y125" i="72"/>
  <c r="S119" i="72"/>
  <c r="G118" i="72"/>
  <c r="I118" i="72"/>
  <c r="I117" i="72"/>
  <c r="S120" i="72"/>
  <c r="U120" i="72"/>
  <c r="U119" i="72"/>
  <c r="M115" i="72"/>
  <c r="K116" i="72"/>
  <c r="M116" i="72"/>
  <c r="E121" i="72"/>
  <c r="C122" i="72"/>
  <c r="E122" i="72"/>
  <c r="G119" i="72"/>
  <c r="AE127" i="72"/>
  <c r="W127" i="72"/>
  <c r="AA126" i="72"/>
  <c r="AC126" i="72"/>
  <c r="AC125" i="72"/>
  <c r="I119" i="72"/>
  <c r="G120" i="72"/>
  <c r="I120" i="72"/>
  <c r="C123" i="72"/>
  <c r="Y127" i="72"/>
  <c r="W128" i="72"/>
  <c r="Y128" i="72"/>
  <c r="AA127" i="72"/>
  <c r="AE128" i="72"/>
  <c r="AG128" i="72"/>
  <c r="AG127" i="72"/>
  <c r="S121" i="72"/>
  <c r="K117" i="72"/>
  <c r="S122" i="72"/>
  <c r="U122" i="72"/>
  <c r="U121" i="72"/>
  <c r="AC127" i="72"/>
  <c r="AA128" i="72"/>
  <c r="AC128" i="72"/>
  <c r="E123" i="72"/>
  <c r="C124" i="72"/>
  <c r="E124" i="72"/>
  <c r="K118" i="72"/>
  <c r="M118" i="72"/>
  <c r="M117" i="72"/>
  <c r="W129" i="72"/>
  <c r="G121" i="72"/>
  <c r="AE129" i="72"/>
  <c r="AG129" i="72"/>
  <c r="AE130" i="72"/>
  <c r="AG130" i="72"/>
  <c r="AA129" i="72"/>
  <c r="K119" i="72"/>
  <c r="G122" i="72"/>
  <c r="I122" i="72"/>
  <c r="I121" i="72"/>
  <c r="C125" i="72"/>
  <c r="Y129" i="72"/>
  <c r="W130" i="72"/>
  <c r="Y130" i="72"/>
  <c r="S123" i="72"/>
  <c r="G123" i="72"/>
  <c r="W131" i="72"/>
  <c r="AC129" i="72"/>
  <c r="AA130" i="72"/>
  <c r="AC130" i="72"/>
  <c r="S124" i="72"/>
  <c r="U124" i="72"/>
  <c r="U123" i="72"/>
  <c r="E125" i="72"/>
  <c r="C126" i="72"/>
  <c r="E126" i="72"/>
  <c r="K120" i="72"/>
  <c r="M120" i="72"/>
  <c r="M119" i="72"/>
  <c r="AE131" i="72"/>
  <c r="K121" i="72"/>
  <c r="S125" i="72"/>
  <c r="C127" i="72"/>
  <c r="W132" i="72"/>
  <c r="Y132" i="72"/>
  <c r="Y131" i="72"/>
  <c r="AE132" i="72"/>
  <c r="AG132" i="72"/>
  <c r="AG131" i="72"/>
  <c r="AA131" i="72"/>
  <c r="G124" i="72"/>
  <c r="I124" i="72"/>
  <c r="I123" i="72"/>
  <c r="AC131" i="72"/>
  <c r="AA132" i="72"/>
  <c r="AC132" i="72"/>
  <c r="U125" i="72"/>
  <c r="S126" i="72"/>
  <c r="U126" i="72"/>
  <c r="G125" i="72"/>
  <c r="E127" i="72"/>
  <c r="C128" i="72"/>
  <c r="E128" i="72"/>
  <c r="K122" i="72"/>
  <c r="M122" i="72"/>
  <c r="M121" i="72"/>
  <c r="K123" i="72"/>
  <c r="G126" i="72"/>
  <c r="I126" i="72"/>
  <c r="I125" i="72"/>
  <c r="C129" i="72"/>
  <c r="S127" i="72"/>
  <c r="G127" i="72"/>
  <c r="S128" i="72"/>
  <c r="U128" i="72"/>
  <c r="U127" i="72"/>
  <c r="C130" i="72"/>
  <c r="E130" i="72"/>
  <c r="E129" i="72"/>
  <c r="K124" i="72"/>
  <c r="M124" i="72"/>
  <c r="M123" i="72"/>
  <c r="K125" i="72"/>
  <c r="S129" i="72"/>
  <c r="C131" i="72"/>
  <c r="I127" i="72"/>
  <c r="G128" i="72"/>
  <c r="I128" i="72"/>
  <c r="U129" i="72"/>
  <c r="S130" i="72"/>
  <c r="U130" i="72"/>
  <c r="G129" i="72"/>
  <c r="E131" i="72"/>
  <c r="C132" i="72"/>
  <c r="E132" i="72"/>
  <c r="K126" i="72"/>
  <c r="M126" i="72"/>
  <c r="M125" i="72"/>
  <c r="I129" i="72"/>
  <c r="G130" i="72"/>
  <c r="I130" i="72"/>
  <c r="S131" i="72"/>
  <c r="K127" i="72"/>
  <c r="M127" i="72"/>
  <c r="K128" i="72"/>
  <c r="M128" i="72"/>
  <c r="S132" i="72"/>
  <c r="U132" i="72"/>
  <c r="U131" i="72"/>
  <c r="G131" i="72"/>
  <c r="K129" i="72"/>
  <c r="G132" i="72"/>
  <c r="I132" i="72"/>
  <c r="I131" i="72"/>
  <c r="L129" i="72"/>
  <c r="L130" i="72"/>
  <c r="K130" i="72"/>
  <c r="M130" i="72"/>
  <c r="M129" i="72"/>
  <c r="EM61" i="72" l="1"/>
  <c r="EE77" i="72"/>
  <c r="EE74" i="72"/>
  <c r="EE69" i="72"/>
  <c r="EE65" i="72"/>
  <c r="EE62" i="72"/>
  <c r="DO73" i="72"/>
  <c r="DO70" i="72"/>
  <c r="DO66" i="72"/>
  <c r="DO62" i="72"/>
  <c r="DG71" i="72"/>
  <c r="EN28" i="72"/>
  <c r="EN29" i="72" s="1"/>
  <c r="EQ69" i="72" s="1"/>
  <c r="EE78" i="72"/>
  <c r="EE73" i="72"/>
  <c r="EE70" i="72"/>
  <c r="EE66" i="72"/>
  <c r="EE60" i="72"/>
  <c r="DO74" i="72"/>
  <c r="DO69" i="72"/>
  <c r="DO65" i="72"/>
  <c r="DO60" i="72"/>
  <c r="DG68" i="72"/>
  <c r="EE76" i="72"/>
  <c r="EE72" i="72"/>
  <c r="EE68" i="72"/>
  <c r="EE63" i="72"/>
  <c r="DO76" i="72"/>
  <c r="DO72" i="72"/>
  <c r="DO68" i="72"/>
  <c r="DO64" i="72"/>
  <c r="DG60" i="72"/>
  <c r="H21" i="48"/>
  <c r="H62" i="48"/>
  <c r="H27" i="48"/>
  <c r="H29" i="48" s="1"/>
  <c r="H267" i="48"/>
  <c r="H277" i="48" s="1"/>
  <c r="H252" i="48"/>
  <c r="H254" i="48" s="1"/>
  <c r="H255" i="48" s="1"/>
  <c r="H43" i="48"/>
  <c r="H47" i="48"/>
  <c r="H154" i="48"/>
  <c r="H160" i="48"/>
  <c r="H63" i="48"/>
  <c r="FA30" i="72"/>
  <c r="CQ141" i="72"/>
  <c r="CM139" i="72"/>
  <c r="AD41" i="55"/>
  <c r="AD61" i="55"/>
  <c r="AD39" i="55"/>
  <c r="AD43" i="55"/>
  <c r="AD45" i="55"/>
  <c r="AD49" i="55"/>
  <c r="AD63" i="55"/>
  <c r="AD65" i="55"/>
  <c r="AD67" i="55"/>
  <c r="AD47" i="55"/>
  <c r="AD57" i="55"/>
  <c r="AD51" i="55"/>
  <c r="AD53" i="55"/>
  <c r="AD55" i="55"/>
  <c r="AD59" i="55"/>
  <c r="AD69" i="55"/>
  <c r="AD71" i="55"/>
  <c r="E160" i="65"/>
  <c r="F160" i="65" s="1"/>
  <c r="H48" i="48"/>
  <c r="H49" i="48" s="1"/>
  <c r="H64" i="48"/>
  <c r="H161" i="48"/>
  <c r="H162" i="48" s="1"/>
  <c r="H91" i="48"/>
  <c r="H92" i="48" s="1"/>
  <c r="H94" i="48" s="1"/>
  <c r="H155" i="48"/>
  <c r="H156" i="48" s="1"/>
  <c r="F14" i="69"/>
  <c r="F16" i="69" s="1"/>
  <c r="H149" i="65"/>
  <c r="I149" i="65" s="1"/>
  <c r="F33" i="70"/>
  <c r="G33" i="70" s="1"/>
  <c r="H130" i="48"/>
  <c r="H131" i="48" s="1"/>
  <c r="I44" i="54"/>
  <c r="I52" i="54" s="1"/>
  <c r="I46" i="54"/>
  <c r="I54" i="54" s="1"/>
  <c r="I45" i="54"/>
  <c r="I53" i="54" s="1"/>
  <c r="R38" i="55"/>
  <c r="R40" i="55"/>
  <c r="R52" i="55"/>
  <c r="R64" i="55"/>
  <c r="R66" i="55"/>
  <c r="R42" i="55"/>
  <c r="R44" i="55"/>
  <c r="R50" i="55"/>
  <c r="R36" i="55"/>
  <c r="R46" i="55"/>
  <c r="R56" i="55"/>
  <c r="R58" i="55"/>
  <c r="R60" i="55"/>
  <c r="R68" i="55"/>
  <c r="R70" i="55"/>
  <c r="R48" i="55"/>
  <c r="R54" i="55"/>
  <c r="R62" i="55"/>
  <c r="H204" i="48"/>
  <c r="H208" i="48" s="1"/>
  <c r="EM58" i="72"/>
  <c r="EM64" i="72"/>
  <c r="EM67" i="72"/>
  <c r="EM72" i="72"/>
  <c r="EM75" i="72"/>
  <c r="EM63" i="72"/>
  <c r="EM68" i="72"/>
  <c r="EM71" i="72"/>
  <c r="EM60" i="72"/>
  <c r="EM65" i="72"/>
  <c r="EM70" i="72"/>
  <c r="EM73" i="72"/>
  <c r="EM78" i="72"/>
  <c r="EM62" i="72"/>
  <c r="EM66" i="72"/>
  <c r="EM69" i="72"/>
  <c r="EM74" i="72"/>
  <c r="EM77" i="72"/>
  <c r="EM76" i="72"/>
  <c r="EQ66" i="72"/>
  <c r="EQ58" i="72"/>
  <c r="EQ68" i="72"/>
  <c r="EQ64" i="72"/>
  <c r="EQ65" i="72"/>
  <c r="EM57" i="72"/>
  <c r="EI61" i="72"/>
  <c r="EF29" i="72"/>
  <c r="EA76" i="72"/>
  <c r="EA71" i="72"/>
  <c r="EA67" i="72"/>
  <c r="EA64" i="72"/>
  <c r="DS61" i="72"/>
  <c r="DP29" i="72"/>
  <c r="DG73" i="72"/>
  <c r="DG70" i="72"/>
  <c r="DG65" i="72"/>
  <c r="DG56" i="72"/>
  <c r="EM59" i="72"/>
  <c r="EI59" i="72"/>
  <c r="EA78" i="72"/>
  <c r="EA73" i="72"/>
  <c r="EA69" i="72"/>
  <c r="EA66" i="72"/>
  <c r="EA62" i="72"/>
  <c r="DS59" i="72"/>
  <c r="DG74" i="72"/>
  <c r="DG69" i="72"/>
  <c r="DG66" i="72"/>
  <c r="DG62" i="72"/>
  <c r="EA77" i="72"/>
  <c r="EA74" i="72"/>
  <c r="EA70" i="72"/>
  <c r="EA65" i="72"/>
  <c r="DG75" i="72"/>
  <c r="DG72" i="72"/>
  <c r="DG67" i="72"/>
  <c r="DG64" i="72"/>
  <c r="H109" i="68"/>
  <c r="F115" i="68" s="1"/>
  <c r="D44" i="71"/>
  <c r="D46" i="71" s="1"/>
  <c r="H211" i="48"/>
  <c r="J167" i="65" s="1"/>
  <c r="H115" i="48" s="1"/>
  <c r="H119" i="48" s="1"/>
  <c r="I55" i="54"/>
  <c r="EQ76" i="72" l="1"/>
  <c r="EQ62" i="72"/>
  <c r="EQ63" i="72"/>
  <c r="EQ78" i="72"/>
  <c r="EQ60" i="72"/>
  <c r="EQ59" i="72"/>
  <c r="EQ75" i="72"/>
  <c r="EQ77" i="72"/>
  <c r="EQ73" i="72"/>
  <c r="EQ61" i="72"/>
  <c r="EQ57" i="72"/>
  <c r="EV57" i="72" s="1"/>
  <c r="EQ72" i="72"/>
  <c r="EQ74" i="72"/>
  <c r="EQ67" i="72"/>
  <c r="EQ71" i="72"/>
  <c r="EQ70" i="72"/>
  <c r="ER28" i="72"/>
  <c r="EU59" i="72" s="1"/>
  <c r="H65" i="48"/>
  <c r="H67" i="48" s="1"/>
  <c r="H53" i="48"/>
  <c r="H31" i="48" s="1"/>
  <c r="H32" i="48" s="1"/>
  <c r="FA61" i="72"/>
  <c r="FA62" i="72" s="1"/>
  <c r="FA31" i="72"/>
  <c r="FB61" i="72" s="1"/>
  <c r="CQ142" i="72"/>
  <c r="CS142" i="72" s="1"/>
  <c r="CS141" i="72"/>
  <c r="CM140" i="72"/>
  <c r="CO140" i="72" s="1"/>
  <c r="CO139" i="72"/>
  <c r="H165" i="48"/>
  <c r="H244" i="48" s="1"/>
  <c r="G35" i="65"/>
  <c r="H35" i="65" s="1"/>
  <c r="EI58" i="72"/>
  <c r="EI64" i="72"/>
  <c r="EI67" i="72"/>
  <c r="EI72" i="72"/>
  <c r="EI75" i="72"/>
  <c r="EI68" i="72"/>
  <c r="EI71" i="72"/>
  <c r="EI60" i="72"/>
  <c r="EI65" i="72"/>
  <c r="EI70" i="72"/>
  <c r="EI73" i="72"/>
  <c r="EI77" i="72"/>
  <c r="EI62" i="72"/>
  <c r="EI66" i="72"/>
  <c r="EI69" i="72"/>
  <c r="EI74" i="72"/>
  <c r="EI78" i="72"/>
  <c r="EI63" i="72"/>
  <c r="EI76" i="72"/>
  <c r="DS62" i="72"/>
  <c r="DS66" i="72"/>
  <c r="DS70" i="72"/>
  <c r="DS74" i="72"/>
  <c r="DS60" i="72"/>
  <c r="DS65" i="72"/>
  <c r="DS69" i="72"/>
  <c r="DS73" i="72"/>
  <c r="DS56" i="72"/>
  <c r="DS64" i="72"/>
  <c r="DS67" i="72"/>
  <c r="DS71" i="72"/>
  <c r="DS76" i="72"/>
  <c r="DS58" i="72"/>
  <c r="DS63" i="72"/>
  <c r="DS68" i="72"/>
  <c r="DS72" i="72"/>
  <c r="DS75" i="72"/>
  <c r="I115" i="68"/>
  <c r="J115" i="68" s="1"/>
  <c r="F116" i="68"/>
  <c r="D48" i="71"/>
  <c r="ER29" i="72" l="1"/>
  <c r="EU60" i="72" s="1"/>
  <c r="EU61" i="72"/>
  <c r="EV61" i="72" s="1"/>
  <c r="EV59" i="72"/>
  <c r="H69" i="48"/>
  <c r="H34" i="48" s="1"/>
  <c r="H35" i="48" s="1"/>
  <c r="FC61" i="72"/>
  <c r="FC62" i="72" s="1"/>
  <c r="FB62" i="72"/>
  <c r="CQ143" i="72"/>
  <c r="CM141" i="72"/>
  <c r="F22" i="70"/>
  <c r="G22" i="70" s="1"/>
  <c r="H150" i="65"/>
  <c r="I150" i="65" s="1"/>
  <c r="I152" i="65" s="1"/>
  <c r="H80" i="48" s="1"/>
  <c r="E15" i="69"/>
  <c r="E16" i="69" s="1"/>
  <c r="G16" i="69" s="1"/>
  <c r="H74" i="48" s="1"/>
  <c r="F42" i="70"/>
  <c r="G42" i="70" s="1"/>
  <c r="I116" i="68"/>
  <c r="J116" i="68" s="1"/>
  <c r="F117" i="68"/>
  <c r="EU76" i="72" l="1"/>
  <c r="EU69" i="72"/>
  <c r="EU77" i="72"/>
  <c r="EU65" i="72"/>
  <c r="EU72" i="72"/>
  <c r="EU80" i="72"/>
  <c r="EU73" i="72"/>
  <c r="EU79" i="72"/>
  <c r="EU74" i="72"/>
  <c r="EU62" i="72"/>
  <c r="EU66" i="72"/>
  <c r="EU63" i="72"/>
  <c r="EU68" i="72"/>
  <c r="EU70" i="72"/>
  <c r="EU64" i="72"/>
  <c r="EU67" i="72"/>
  <c r="EU78" i="72"/>
  <c r="EU75" i="72"/>
  <c r="EU71" i="72"/>
  <c r="H239" i="48"/>
  <c r="CQ144" i="72"/>
  <c r="CS144" i="72" s="1"/>
  <c r="CS143" i="72"/>
  <c r="CM142" i="72"/>
  <c r="CO142" i="72" s="1"/>
  <c r="CO141" i="72"/>
  <c r="H76" i="48"/>
  <c r="H77" i="48" s="1"/>
  <c r="E159" i="65"/>
  <c r="F159" i="65" s="1"/>
  <c r="F162" i="65" s="1"/>
  <c r="H86" i="48" s="1"/>
  <c r="H87" i="48" s="1"/>
  <c r="H227" i="48"/>
  <c r="H228" i="48" s="1"/>
  <c r="H141" i="48"/>
  <c r="H142" i="48" s="1"/>
  <c r="H144" i="48" s="1"/>
  <c r="I71" i="54"/>
  <c r="I72" i="54" s="1"/>
  <c r="G44" i="70"/>
  <c r="H169" i="48" s="1"/>
  <c r="H171" i="48" s="1"/>
  <c r="H245" i="48" s="1"/>
  <c r="I117" i="68"/>
  <c r="J117" i="68" s="1"/>
  <c r="F118" i="68"/>
  <c r="CQ145" i="72" l="1"/>
  <c r="H97" i="48"/>
  <c r="H99" i="48" s="1"/>
  <c r="H106" i="48" s="1"/>
  <c r="H243" i="48"/>
  <c r="F119" i="68"/>
  <c r="I118" i="68"/>
  <c r="J118" i="68" s="1"/>
  <c r="CQ146" i="72" l="1"/>
  <c r="CS146" i="72" s="1"/>
  <c r="CS145" i="72"/>
  <c r="H108" i="48"/>
  <c r="H240" i="48"/>
  <c r="F120" i="68"/>
  <c r="I119" i="68"/>
  <c r="J119" i="68" s="1"/>
  <c r="CQ147" i="72" l="1"/>
  <c r="H213" i="48"/>
  <c r="H241" i="48"/>
  <c r="F197" i="65" s="1"/>
  <c r="G197" i="65" s="1"/>
  <c r="I16" i="54"/>
  <c r="I57" i="54" s="1"/>
  <c r="I76" i="54" s="1"/>
  <c r="I78" i="54" s="1"/>
  <c r="I9" i="54" s="1"/>
  <c r="H275" i="48" s="1"/>
  <c r="F121" i="68"/>
  <c r="I120" i="68"/>
  <c r="J120" i="68" s="1"/>
  <c r="CQ148" i="72" l="1"/>
  <c r="CS148" i="72" s="1"/>
  <c r="CS147" i="72"/>
  <c r="H246" i="48"/>
  <c r="H232" i="48"/>
  <c r="H234" i="48" s="1"/>
  <c r="H247" i="48" s="1"/>
  <c r="H249" i="48" s="1"/>
  <c r="H256" i="48" s="1"/>
  <c r="H257" i="48" s="1"/>
  <c r="H263" i="48" s="1"/>
  <c r="H281" i="48" s="1"/>
  <c r="I121" i="68"/>
  <c r="J121" i="68" s="1"/>
  <c r="F122" i="68"/>
  <c r="H274" i="48" l="1"/>
  <c r="H276" i="48" s="1"/>
  <c r="H266" i="48"/>
  <c r="F196" i="65"/>
  <c r="I122" i="68"/>
  <c r="J122" i="68" s="1"/>
  <c r="F123" i="68"/>
  <c r="F198" i="65" l="1"/>
  <c r="G198" i="65" s="1"/>
  <c r="FA28" i="72" s="1"/>
  <c r="G196" i="65"/>
  <c r="H268" i="48"/>
  <c r="H270" i="48"/>
  <c r="L17" i="72" s="1"/>
  <c r="H269" i="48"/>
  <c r="L11" i="72" s="1"/>
  <c r="C28" i="72" s="1"/>
  <c r="H279" i="48"/>
  <c r="L12" i="72" s="1"/>
  <c r="H278" i="48"/>
  <c r="F124" i="68"/>
  <c r="I123" i="68"/>
  <c r="J123" i="68"/>
  <c r="C29" i="72" l="1"/>
  <c r="L13" i="72"/>
  <c r="F63" i="72"/>
  <c r="F83" i="72"/>
  <c r="F43" i="72"/>
  <c r="F85" i="72"/>
  <c r="F61" i="72"/>
  <c r="G28" i="72"/>
  <c r="F73" i="72"/>
  <c r="F101" i="72"/>
  <c r="F113" i="72"/>
  <c r="F123" i="72"/>
  <c r="F125" i="72"/>
  <c r="F117" i="72"/>
  <c r="F55" i="72"/>
  <c r="F115" i="72"/>
  <c r="F57" i="72"/>
  <c r="F89" i="72"/>
  <c r="F47" i="72"/>
  <c r="F93" i="72"/>
  <c r="F71" i="72"/>
  <c r="F81" i="72"/>
  <c r="F119" i="72"/>
  <c r="F67" i="72"/>
  <c r="F91" i="72"/>
  <c r="F69" i="72"/>
  <c r="F45" i="72"/>
  <c r="F79" i="72"/>
  <c r="F65" i="72"/>
  <c r="F95" i="72"/>
  <c r="F97" i="72"/>
  <c r="F109" i="72"/>
  <c r="F129" i="72"/>
  <c r="F127" i="72"/>
  <c r="F53" i="72"/>
  <c r="F75" i="72"/>
  <c r="F51" i="72"/>
  <c r="F77" i="72"/>
  <c r="F59" i="72"/>
  <c r="F87" i="72"/>
  <c r="F49" i="72"/>
  <c r="F99" i="72"/>
  <c r="F105" i="72"/>
  <c r="F121" i="72"/>
  <c r="F111" i="72"/>
  <c r="F131" i="72"/>
  <c r="F103" i="72"/>
  <c r="F107" i="72"/>
  <c r="FA29" i="72"/>
  <c r="FD62" i="72" s="1"/>
  <c r="FD61" i="72"/>
  <c r="I124" i="68"/>
  <c r="J124" i="68" s="1"/>
  <c r="F125" i="68"/>
  <c r="J59" i="72" l="1"/>
  <c r="J91" i="72"/>
  <c r="J49" i="72"/>
  <c r="J63" i="72"/>
  <c r="J81" i="72"/>
  <c r="J61" i="72"/>
  <c r="J89" i="72"/>
  <c r="J99" i="72"/>
  <c r="J113" i="72"/>
  <c r="J129" i="72"/>
  <c r="J119" i="72"/>
  <c r="J127" i="72"/>
  <c r="J69" i="72"/>
  <c r="J53" i="72"/>
  <c r="J71" i="72"/>
  <c r="J57" i="72"/>
  <c r="J87" i="72"/>
  <c r="J67" i="72"/>
  <c r="J95" i="72"/>
  <c r="J115" i="72"/>
  <c r="J117" i="72"/>
  <c r="J103" i="72"/>
  <c r="J131" i="72"/>
  <c r="J77" i="72"/>
  <c r="J51" i="72"/>
  <c r="J79" i="72"/>
  <c r="J65" i="72"/>
  <c r="J55" i="72"/>
  <c r="J75" i="72"/>
  <c r="J97" i="72"/>
  <c r="J101" i="72"/>
  <c r="J121" i="72"/>
  <c r="J109" i="72"/>
  <c r="J105" i="72"/>
  <c r="J47" i="72"/>
  <c r="J85" i="72"/>
  <c r="J43" i="72"/>
  <c r="J45" i="72"/>
  <c r="J73" i="72"/>
  <c r="K28" i="72"/>
  <c r="J83" i="72"/>
  <c r="J93" i="72"/>
  <c r="J107" i="72"/>
  <c r="J123" i="72"/>
  <c r="J111" i="72"/>
  <c r="J125" i="72"/>
  <c r="F72" i="72"/>
  <c r="F46" i="72"/>
  <c r="F74" i="72"/>
  <c r="G29" i="72"/>
  <c r="F84" i="72"/>
  <c r="F56" i="72"/>
  <c r="F98" i="72"/>
  <c r="F118" i="72"/>
  <c r="F126" i="72"/>
  <c r="F128" i="72"/>
  <c r="F122" i="72"/>
  <c r="F86" i="72"/>
  <c r="F108" i="72"/>
  <c r="F60" i="72"/>
  <c r="F80" i="72"/>
  <c r="F50" i="72"/>
  <c r="F82" i="72"/>
  <c r="F44" i="72"/>
  <c r="F94" i="72"/>
  <c r="F70" i="72"/>
  <c r="F102" i="72"/>
  <c r="F104" i="72"/>
  <c r="F132" i="72"/>
  <c r="F130" i="72"/>
  <c r="F124" i="72"/>
  <c r="F120" i="72"/>
  <c r="F54" i="72"/>
  <c r="F88" i="72"/>
  <c r="F48" i="72"/>
  <c r="F90" i="72"/>
  <c r="F68" i="72"/>
  <c r="F58" i="72"/>
  <c r="F78" i="72"/>
  <c r="F96" i="72"/>
  <c r="F114" i="72"/>
  <c r="F106" i="72"/>
  <c r="F110" i="72"/>
  <c r="F116" i="72"/>
  <c r="F100" i="72"/>
  <c r="F62" i="72"/>
  <c r="F92" i="72"/>
  <c r="F66" i="72"/>
  <c r="F64" i="72"/>
  <c r="F76" i="72"/>
  <c r="F52" i="72"/>
  <c r="F112" i="72"/>
  <c r="F126" i="68"/>
  <c r="I125" i="68"/>
  <c r="J125" i="68" s="1"/>
  <c r="N85" i="72" l="1"/>
  <c r="N63" i="72"/>
  <c r="N47" i="72"/>
  <c r="N81" i="72"/>
  <c r="N67" i="72"/>
  <c r="N59" i="72"/>
  <c r="N87" i="72"/>
  <c r="N107" i="72"/>
  <c r="N101" i="72"/>
  <c r="N119" i="72"/>
  <c r="N115" i="72"/>
  <c r="N121" i="72"/>
  <c r="N77" i="72"/>
  <c r="N113" i="72"/>
  <c r="N57" i="72"/>
  <c r="N71" i="72"/>
  <c r="N55" i="72"/>
  <c r="N45" i="72"/>
  <c r="N75" i="72"/>
  <c r="N61" i="72"/>
  <c r="N89" i="72"/>
  <c r="N97" i="72"/>
  <c r="N103" i="72"/>
  <c r="N125" i="72"/>
  <c r="N129" i="72"/>
  <c r="N127" i="72"/>
  <c r="N51" i="72"/>
  <c r="N95" i="72"/>
  <c r="N43" i="72"/>
  <c r="N79" i="72"/>
  <c r="N65" i="72"/>
  <c r="N53" i="72"/>
  <c r="N83" i="72"/>
  <c r="N69" i="72"/>
  <c r="N91" i="72"/>
  <c r="N99" i="72"/>
  <c r="N111" i="72"/>
  <c r="N109" i="72"/>
  <c r="N123" i="72"/>
  <c r="N93" i="72"/>
  <c r="N117" i="72"/>
  <c r="O28" i="72"/>
  <c r="R133" i="72" s="1"/>
  <c r="N41" i="72"/>
  <c r="CY41" i="72" s="1"/>
  <c r="DA41" i="72" s="1"/>
  <c r="N73" i="72"/>
  <c r="N49" i="72"/>
  <c r="N105" i="72"/>
  <c r="J52" i="72"/>
  <c r="J92" i="72"/>
  <c r="J72" i="72"/>
  <c r="J60" i="72"/>
  <c r="J82" i="72"/>
  <c r="J46" i="72"/>
  <c r="J98" i="72"/>
  <c r="J102" i="72"/>
  <c r="J116" i="72"/>
  <c r="J130" i="72"/>
  <c r="J114" i="72"/>
  <c r="J70" i="72"/>
  <c r="J58" i="72"/>
  <c r="J80" i="72"/>
  <c r="K29" i="72"/>
  <c r="J90" i="72"/>
  <c r="J68" i="72"/>
  <c r="J94" i="72"/>
  <c r="J100" i="72"/>
  <c r="J118" i="72"/>
  <c r="J126" i="72"/>
  <c r="J122" i="72"/>
  <c r="J44" i="72"/>
  <c r="J78" i="72"/>
  <c r="J50" i="72"/>
  <c r="J88" i="72"/>
  <c r="J66" i="72"/>
  <c r="J54" i="72"/>
  <c r="J76" i="72"/>
  <c r="J96" i="72"/>
  <c r="J106" i="72"/>
  <c r="J120" i="72"/>
  <c r="J108" i="72"/>
  <c r="J124" i="72"/>
  <c r="J62" i="72"/>
  <c r="J86" i="72"/>
  <c r="J64" i="72"/>
  <c r="J48" i="72"/>
  <c r="J74" i="72"/>
  <c r="J56" i="72"/>
  <c r="J84" i="72"/>
  <c r="J104" i="72"/>
  <c r="J110" i="72"/>
  <c r="J112" i="72"/>
  <c r="J132" i="72"/>
  <c r="J128" i="72"/>
  <c r="I126" i="68"/>
  <c r="J126" i="68"/>
  <c r="J127" i="68" s="1"/>
  <c r="F127" i="68"/>
  <c r="R75" i="72" l="1"/>
  <c r="R99" i="72"/>
  <c r="R79" i="72"/>
  <c r="R51" i="72"/>
  <c r="R77" i="72"/>
  <c r="R69" i="72"/>
  <c r="R49" i="72"/>
  <c r="R81" i="72"/>
  <c r="R113" i="72"/>
  <c r="R123" i="72"/>
  <c r="R127" i="72"/>
  <c r="R63" i="72"/>
  <c r="R57" i="72"/>
  <c r="R107" i="72"/>
  <c r="R47" i="72"/>
  <c r="R83" i="72"/>
  <c r="R59" i="72"/>
  <c r="R87" i="72"/>
  <c r="R53" i="72"/>
  <c r="R89" i="72"/>
  <c r="R117" i="72"/>
  <c r="R121" i="72"/>
  <c r="R129" i="72"/>
  <c r="R71" i="72"/>
  <c r="R67" i="72"/>
  <c r="R109" i="72"/>
  <c r="R65" i="72"/>
  <c r="R93" i="72"/>
  <c r="R45" i="72"/>
  <c r="R95" i="72"/>
  <c r="R61" i="72"/>
  <c r="R97" i="72"/>
  <c r="R115" i="72"/>
  <c r="R125" i="72"/>
  <c r="R73" i="72"/>
  <c r="R91" i="72"/>
  <c r="R111" i="72"/>
  <c r="R55" i="72"/>
  <c r="R101" i="72"/>
  <c r="S28" i="72"/>
  <c r="R103" i="72"/>
  <c r="R85" i="72"/>
  <c r="R105" i="72"/>
  <c r="R119" i="72"/>
  <c r="R131" i="72"/>
  <c r="N52" i="72"/>
  <c r="O29" i="72"/>
  <c r="R134" i="72" s="1"/>
  <c r="N76" i="72"/>
  <c r="N54" i="72"/>
  <c r="N86" i="72"/>
  <c r="N64" i="72"/>
  <c r="N92" i="72"/>
  <c r="N112" i="72"/>
  <c r="N98" i="72"/>
  <c r="N102" i="72"/>
  <c r="N126" i="72"/>
  <c r="N128" i="72"/>
  <c r="N130" i="72"/>
  <c r="N66" i="72"/>
  <c r="N56" i="72"/>
  <c r="N84" i="72"/>
  <c r="N62" i="72"/>
  <c r="N58" i="72"/>
  <c r="N72" i="72"/>
  <c r="N94" i="72"/>
  <c r="N114" i="72"/>
  <c r="N100" i="72"/>
  <c r="N108" i="72"/>
  <c r="N118" i="72"/>
  <c r="N96" i="72"/>
  <c r="N110" i="72"/>
  <c r="N104" i="72"/>
  <c r="N90" i="72"/>
  <c r="N124" i="72"/>
  <c r="N42" i="72"/>
  <c r="CY42" i="72" s="1"/>
  <c r="CZ42" i="72" s="1"/>
  <c r="N74" i="72"/>
  <c r="N50" i="72"/>
  <c r="N88" i="72"/>
  <c r="N70" i="72"/>
  <c r="N44" i="72"/>
  <c r="N80" i="72"/>
  <c r="N116" i="72"/>
  <c r="N120" i="72"/>
  <c r="N122" i="72"/>
  <c r="N60" i="72"/>
  <c r="N82" i="72"/>
  <c r="N68" i="72"/>
  <c r="N48" i="72"/>
  <c r="N78" i="72"/>
  <c r="N46" i="72"/>
  <c r="N106" i="72"/>
  <c r="H130" i="68"/>
  <c r="F130" i="68"/>
  <c r="V53" i="72" l="1"/>
  <c r="V87" i="72"/>
  <c r="V57" i="72"/>
  <c r="V45" i="72"/>
  <c r="V83" i="72"/>
  <c r="V67" i="72"/>
  <c r="V85" i="72"/>
  <c r="V105" i="72"/>
  <c r="V109" i="72"/>
  <c r="V113" i="72"/>
  <c r="V127" i="72"/>
  <c r="V43" i="72"/>
  <c r="CY43" i="72" s="1"/>
  <c r="DA43" i="72" s="1"/>
  <c r="V93" i="72"/>
  <c r="V73" i="72"/>
  <c r="V65" i="72"/>
  <c r="V91" i="72"/>
  <c r="V59" i="72"/>
  <c r="V95" i="72"/>
  <c r="V111" i="72"/>
  <c r="V119" i="72"/>
  <c r="V117" i="72"/>
  <c r="V107" i="72"/>
  <c r="W28" i="72"/>
  <c r="Z133" i="72" s="1"/>
  <c r="V71" i="72"/>
  <c r="V55" i="72"/>
  <c r="V81" i="72"/>
  <c r="V63" i="72"/>
  <c r="V51" i="72"/>
  <c r="V69" i="72"/>
  <c r="V97" i="72"/>
  <c r="V101" i="72"/>
  <c r="V123" i="72"/>
  <c r="V115" i="72"/>
  <c r="V125" i="72"/>
  <c r="V47" i="72"/>
  <c r="V79" i="72"/>
  <c r="V49" i="72"/>
  <c r="V89" i="72"/>
  <c r="V75" i="72"/>
  <c r="V61" i="72"/>
  <c r="V77" i="72"/>
  <c r="V99" i="72"/>
  <c r="V103" i="72"/>
  <c r="V131" i="72"/>
  <c r="V121" i="72"/>
  <c r="V129" i="72"/>
  <c r="R46" i="72"/>
  <c r="R78" i="72"/>
  <c r="R110" i="72"/>
  <c r="R70" i="72"/>
  <c r="R96" i="72"/>
  <c r="R80" i="72"/>
  <c r="R98" i="72"/>
  <c r="R48" i="72"/>
  <c r="R92" i="72"/>
  <c r="R116" i="72"/>
  <c r="R118" i="72"/>
  <c r="R132" i="72"/>
  <c r="R56" i="72"/>
  <c r="R112" i="72"/>
  <c r="R76" i="72"/>
  <c r="R60" i="72"/>
  <c r="R106" i="72"/>
  <c r="R58" i="72"/>
  <c r="R122" i="72"/>
  <c r="R128" i="72"/>
  <c r="R82" i="72"/>
  <c r="R108" i="72"/>
  <c r="R102" i="72"/>
  <c r="R64" i="72"/>
  <c r="R84" i="72"/>
  <c r="R126" i="72"/>
  <c r="R86" i="72"/>
  <c r="R104" i="72"/>
  <c r="R100" i="72"/>
  <c r="S29" i="72"/>
  <c r="R124" i="72"/>
  <c r="R88" i="72"/>
  <c r="R62" i="72"/>
  <c r="R120" i="72"/>
  <c r="R68" i="72"/>
  <c r="R94" i="72"/>
  <c r="R66" i="72"/>
  <c r="R72" i="72"/>
  <c r="R54" i="72"/>
  <c r="R50" i="72"/>
  <c r="R130" i="72"/>
  <c r="R114" i="72"/>
  <c r="R74" i="72"/>
  <c r="R52" i="72"/>
  <c r="R90" i="72"/>
  <c r="I130" i="68"/>
  <c r="F131" i="68" s="1"/>
  <c r="H131" i="68"/>
  <c r="H132" i="68" s="1"/>
  <c r="H133" i="68" s="1"/>
  <c r="H134" i="68" s="1"/>
  <c r="H135" i="68" s="1"/>
  <c r="H136" i="68" s="1"/>
  <c r="H137" i="68" s="1"/>
  <c r="H138" i="68" s="1"/>
  <c r="H139" i="68" s="1"/>
  <c r="H140" i="68" s="1"/>
  <c r="H141" i="68" s="1"/>
  <c r="V44" i="72" l="1"/>
  <c r="CY44" i="72" s="1"/>
  <c r="CZ44" i="72" s="1"/>
  <c r="V58" i="72"/>
  <c r="V84" i="72"/>
  <c r="V80" i="72"/>
  <c r="V98" i="72"/>
  <c r="V94" i="72"/>
  <c r="V48" i="72"/>
  <c r="V114" i="72"/>
  <c r="V106" i="72"/>
  <c r="V130" i="72"/>
  <c r="V120" i="72"/>
  <c r="V128" i="72"/>
  <c r="V68" i="72"/>
  <c r="V72" i="72"/>
  <c r="V104" i="72"/>
  <c r="W29" i="72"/>
  <c r="Z134" i="72" s="1"/>
  <c r="V50" i="72"/>
  <c r="V92" i="72"/>
  <c r="V90" i="72"/>
  <c r="V56" i="72"/>
  <c r="V64" i="72"/>
  <c r="V74" i="72"/>
  <c r="V116" i="72"/>
  <c r="V110" i="72"/>
  <c r="V132" i="72"/>
  <c r="V124" i="72"/>
  <c r="V60" i="72"/>
  <c r="V62" i="72"/>
  <c r="V88" i="72"/>
  <c r="V118" i="72"/>
  <c r="V108" i="72"/>
  <c r="V66" i="72"/>
  <c r="V52" i="72"/>
  <c r="V102" i="72"/>
  <c r="V46" i="72"/>
  <c r="V54" i="72"/>
  <c r="V76" i="72"/>
  <c r="V70" i="72"/>
  <c r="V78" i="72"/>
  <c r="V82" i="72"/>
  <c r="V86" i="72"/>
  <c r="V96" i="72"/>
  <c r="V100" i="72"/>
  <c r="V122" i="72"/>
  <c r="V112" i="72"/>
  <c r="V126" i="72"/>
  <c r="Z55" i="72"/>
  <c r="Z97" i="72"/>
  <c r="Z69" i="72"/>
  <c r="Z95" i="72"/>
  <c r="Z77" i="72"/>
  <c r="Z53" i="72"/>
  <c r="Z49" i="72"/>
  <c r="Z103" i="72"/>
  <c r="Z127" i="72"/>
  <c r="Z117" i="72"/>
  <c r="Z111" i="72"/>
  <c r="Z71" i="72"/>
  <c r="Z107" i="72"/>
  <c r="Z63" i="72"/>
  <c r="Z83" i="72"/>
  <c r="Z109" i="72"/>
  <c r="Z99" i="72"/>
  <c r="Z57" i="72"/>
  <c r="Z101" i="72"/>
  <c r="Z47" i="72"/>
  <c r="Z61" i="72"/>
  <c r="Z87" i="72"/>
  <c r="Z79" i="72"/>
  <c r="Z75" i="72"/>
  <c r="Z105" i="72"/>
  <c r="Z129" i="72"/>
  <c r="Z125" i="72"/>
  <c r="Z115" i="72"/>
  <c r="Z81" i="72"/>
  <c r="Z65" i="72"/>
  <c r="Z91" i="72"/>
  <c r="Z113" i="72"/>
  <c r="Z119" i="72"/>
  <c r="AA28" i="72"/>
  <c r="AD133" i="72" s="1"/>
  <c r="Z73" i="72"/>
  <c r="Z89" i="72"/>
  <c r="Z51" i="72"/>
  <c r="Z85" i="72"/>
  <c r="Z45" i="72"/>
  <c r="Z67" i="72"/>
  <c r="Z59" i="72"/>
  <c r="Z93" i="72"/>
  <c r="Z121" i="72"/>
  <c r="Z131" i="72"/>
  <c r="Z123" i="72"/>
  <c r="H142" i="68"/>
  <c r="H144" i="68" s="1"/>
  <c r="H146" i="68" s="1"/>
  <c r="D150" i="68" s="1"/>
  <c r="D154" i="68" s="1"/>
  <c r="I131" i="68"/>
  <c r="F132" i="68" s="1"/>
  <c r="I132" i="68" s="1"/>
  <c r="F133" i="68" s="1"/>
  <c r="I133" i="68" s="1"/>
  <c r="F134" i="68" s="1"/>
  <c r="I134" i="68" s="1"/>
  <c r="F135" i="68" s="1"/>
  <c r="I135" i="68" s="1"/>
  <c r="F136" i="68" s="1"/>
  <c r="I136" i="68" s="1"/>
  <c r="F137" i="68" s="1"/>
  <c r="I137" i="68" s="1"/>
  <c r="F138" i="68" s="1"/>
  <c r="I138" i="68" s="1"/>
  <c r="F139" i="68" s="1"/>
  <c r="I139" i="68" s="1"/>
  <c r="F140" i="68" s="1"/>
  <c r="I140" i="68" s="1"/>
  <c r="F141" i="68" s="1"/>
  <c r="I141" i="68" s="1"/>
  <c r="G225" i="65" l="1"/>
  <c r="I225" i="65" s="1"/>
  <c r="H282" i="48" s="1"/>
  <c r="AD67" i="72"/>
  <c r="AD101" i="72"/>
  <c r="AD77" i="72"/>
  <c r="AD105" i="72"/>
  <c r="AD79" i="72"/>
  <c r="AD51" i="72"/>
  <c r="AD49" i="72"/>
  <c r="AD95" i="72"/>
  <c r="AD109" i="72"/>
  <c r="AD127" i="72"/>
  <c r="AD131" i="72"/>
  <c r="AD123" i="72"/>
  <c r="AD89" i="72"/>
  <c r="AD45" i="72"/>
  <c r="AD57" i="72"/>
  <c r="AD113" i="72"/>
  <c r="AD65" i="72"/>
  <c r="AD81" i="72"/>
  <c r="AD63" i="72"/>
  <c r="AD87" i="72"/>
  <c r="AD71" i="72"/>
  <c r="AD91" i="72"/>
  <c r="AD83" i="72"/>
  <c r="AD53" i="72"/>
  <c r="AD111" i="72"/>
  <c r="AD107" i="72"/>
  <c r="AD115" i="72"/>
  <c r="AD59" i="72"/>
  <c r="AD93" i="72"/>
  <c r="AD119" i="72"/>
  <c r="AD75" i="72"/>
  <c r="AD99" i="72"/>
  <c r="AE28" i="72"/>
  <c r="AH133" i="72" s="1"/>
  <c r="AD121" i="72"/>
  <c r="AD61" i="72"/>
  <c r="AD97" i="72"/>
  <c r="AD47" i="72"/>
  <c r="AD103" i="72"/>
  <c r="AD69" i="72"/>
  <c r="AD73" i="72"/>
  <c r="AD55" i="72"/>
  <c r="AD85" i="72"/>
  <c r="AD117" i="72"/>
  <c r="AD125" i="72"/>
  <c r="AD129" i="72"/>
  <c r="Z70" i="72"/>
  <c r="Z96" i="72"/>
  <c r="Z84" i="72"/>
  <c r="Z56" i="72"/>
  <c r="Z102" i="72"/>
  <c r="Z62" i="72"/>
  <c r="Z50" i="72"/>
  <c r="Z92" i="72"/>
  <c r="Z108" i="72"/>
  <c r="Z126" i="72"/>
  <c r="Z128" i="72"/>
  <c r="Z66" i="72"/>
  <c r="Z52" i="72"/>
  <c r="Z76" i="72"/>
  <c r="Z104" i="72"/>
  <c r="Z54" i="72"/>
  <c r="Z106" i="72"/>
  <c r="Z130" i="72"/>
  <c r="Z132" i="72"/>
  <c r="Z48" i="72"/>
  <c r="Z80" i="72"/>
  <c r="Z74" i="72"/>
  <c r="AA29" i="72"/>
  <c r="AD134" i="72" s="1"/>
  <c r="Z114" i="72"/>
  <c r="Z118" i="72"/>
  <c r="Z94" i="72"/>
  <c r="Z78" i="72"/>
  <c r="Z110" i="72"/>
  <c r="Z68" i="72"/>
  <c r="Z86" i="72"/>
  <c r="Z90" i="72"/>
  <c r="Z122" i="72"/>
  <c r="Z60" i="72"/>
  <c r="Z72" i="72"/>
  <c r="Z88" i="72"/>
  <c r="Z58" i="72"/>
  <c r="Z46" i="72"/>
  <c r="Z98" i="72"/>
  <c r="Z64" i="72"/>
  <c r="Z100" i="72"/>
  <c r="Z82" i="72"/>
  <c r="Z120" i="72"/>
  <c r="Z116" i="72"/>
  <c r="Z124" i="72"/>
  <c r="Z112" i="72"/>
  <c r="AD56" i="72" l="1"/>
  <c r="AD100" i="72"/>
  <c r="AD60" i="72"/>
  <c r="AD54" i="72"/>
  <c r="AD98" i="72"/>
  <c r="AD66" i="72"/>
  <c r="AD58" i="72"/>
  <c r="AD102" i="72"/>
  <c r="AD128" i="72"/>
  <c r="AD116" i="72"/>
  <c r="AD122" i="72"/>
  <c r="AD118" i="72"/>
  <c r="AD114" i="72"/>
  <c r="AD132" i="72"/>
  <c r="AD62" i="72"/>
  <c r="AD52" i="72"/>
  <c r="AD112" i="72"/>
  <c r="AD50" i="72"/>
  <c r="AD76" i="72"/>
  <c r="AD106" i="72"/>
  <c r="AD86" i="72"/>
  <c r="AD74" i="72"/>
  <c r="AD104" i="72"/>
  <c r="AD80" i="72"/>
  <c r="AD46" i="72"/>
  <c r="AD130" i="72"/>
  <c r="AD124" i="72"/>
  <c r="AD88" i="72"/>
  <c r="AD126" i="72"/>
  <c r="AD70" i="72"/>
  <c r="AD84" i="72"/>
  <c r="AD68" i="72"/>
  <c r="AD96" i="72"/>
  <c r="AD78" i="72"/>
  <c r="AD64" i="72"/>
  <c r="AD90" i="72"/>
  <c r="AD82" i="72"/>
  <c r="AD120" i="72"/>
  <c r="AD108" i="72"/>
  <c r="AD94" i="72"/>
  <c r="AD72" i="72"/>
  <c r="AD92" i="72"/>
  <c r="AD48" i="72"/>
  <c r="AE29" i="72"/>
  <c r="AH134" i="72" s="1"/>
  <c r="AD110" i="72"/>
  <c r="AH51" i="72"/>
  <c r="AH105" i="72"/>
  <c r="AH79" i="72"/>
  <c r="AH45" i="72"/>
  <c r="CY45" i="72" s="1"/>
  <c r="DA45" i="72" s="1"/>
  <c r="AH91" i="72"/>
  <c r="AH83" i="72"/>
  <c r="AH65" i="72"/>
  <c r="AH97" i="72"/>
  <c r="AH113" i="72"/>
  <c r="AH109" i="72"/>
  <c r="AH121" i="72"/>
  <c r="AH49" i="72"/>
  <c r="AH75" i="72"/>
  <c r="AH47" i="72"/>
  <c r="AH69" i="72"/>
  <c r="AH95" i="72"/>
  <c r="AH103" i="72"/>
  <c r="AH125" i="72"/>
  <c r="AH111" i="72"/>
  <c r="AH59" i="72"/>
  <c r="AH55" i="72"/>
  <c r="AH101" i="72"/>
  <c r="AH127" i="72"/>
  <c r="AH117" i="72"/>
  <c r="AH93" i="72"/>
  <c r="AH81" i="72"/>
  <c r="AH57" i="72"/>
  <c r="AH129" i="72"/>
  <c r="AH89" i="72"/>
  <c r="AH73" i="72"/>
  <c r="AH115" i="72"/>
  <c r="AH71" i="72"/>
  <c r="AH99" i="72"/>
  <c r="AH77" i="72"/>
  <c r="AH123" i="72"/>
  <c r="AH131" i="72"/>
  <c r="AH63" i="72"/>
  <c r="AI28" i="72"/>
  <c r="AH87" i="72"/>
  <c r="AH119" i="72"/>
  <c r="AH85" i="72"/>
  <c r="AH53" i="72"/>
  <c r="AH61" i="72"/>
  <c r="AH107" i="72"/>
  <c r="AH67" i="72"/>
  <c r="AL133" i="72" l="1"/>
  <c r="AL135" i="72"/>
  <c r="AH60" i="72"/>
  <c r="AH88" i="72"/>
  <c r="AH54" i="72"/>
  <c r="AH104" i="72"/>
  <c r="AH86" i="72"/>
  <c r="AH50" i="72"/>
  <c r="AI29" i="72"/>
  <c r="AH114" i="72"/>
  <c r="AH66" i="72"/>
  <c r="AH96" i="72"/>
  <c r="AH48" i="72"/>
  <c r="AH70" i="72"/>
  <c r="AH98" i="72"/>
  <c r="AH78" i="72"/>
  <c r="AH58" i="72"/>
  <c r="AH102" i="72"/>
  <c r="AH118" i="72"/>
  <c r="AH132" i="72"/>
  <c r="AH128" i="72"/>
  <c r="AH68" i="72"/>
  <c r="AH46" i="72"/>
  <c r="CY46" i="72" s="1"/>
  <c r="CZ46" i="72" s="1"/>
  <c r="AH52" i="72"/>
  <c r="AH106" i="72"/>
  <c r="AH62" i="72"/>
  <c r="AH110" i="72"/>
  <c r="AH120" i="72"/>
  <c r="AH126" i="72"/>
  <c r="AH74" i="72"/>
  <c r="AH84" i="72"/>
  <c r="AH90" i="72"/>
  <c r="AH116" i="72"/>
  <c r="AH72" i="72"/>
  <c r="AH80" i="72"/>
  <c r="AH64" i="72"/>
  <c r="AH94" i="72"/>
  <c r="AH76" i="72"/>
  <c r="AH56" i="72"/>
  <c r="AH100" i="72"/>
  <c r="AH82" i="72"/>
  <c r="AH112" i="72"/>
  <c r="AH108" i="72"/>
  <c r="AH124" i="72"/>
  <c r="AH92" i="72"/>
  <c r="AH130" i="72"/>
  <c r="AH122" i="72"/>
  <c r="AL73" i="72"/>
  <c r="AL93" i="72"/>
  <c r="AL65" i="72"/>
  <c r="AL49" i="72"/>
  <c r="AL91" i="72"/>
  <c r="AL63" i="72"/>
  <c r="AL105" i="72"/>
  <c r="AL79" i="72"/>
  <c r="AL113" i="72"/>
  <c r="AL131" i="72"/>
  <c r="AL125" i="72"/>
  <c r="AL61" i="72"/>
  <c r="AL101" i="72"/>
  <c r="AL53" i="72"/>
  <c r="AL83" i="72"/>
  <c r="AL103" i="72"/>
  <c r="AL51" i="72"/>
  <c r="AL111" i="72"/>
  <c r="AL87" i="72"/>
  <c r="AL119" i="72"/>
  <c r="AL123" i="72"/>
  <c r="AL127" i="72"/>
  <c r="AL67" i="72"/>
  <c r="AL71" i="72"/>
  <c r="AL77" i="72"/>
  <c r="AL89" i="72"/>
  <c r="AL69" i="72"/>
  <c r="AL109" i="72"/>
  <c r="AL55" i="72"/>
  <c r="AL57" i="72"/>
  <c r="AL97" i="72"/>
  <c r="AL115" i="72"/>
  <c r="AL129" i="72"/>
  <c r="AL85" i="72"/>
  <c r="AL75" i="72"/>
  <c r="AM28" i="72"/>
  <c r="AL99" i="72"/>
  <c r="AL47" i="72"/>
  <c r="AL59" i="72"/>
  <c r="AL95" i="72"/>
  <c r="AL81" i="72"/>
  <c r="AL107" i="72"/>
  <c r="AL117" i="72"/>
  <c r="AL121" i="72"/>
  <c r="AL134" i="72" l="1"/>
  <c r="AL136" i="72"/>
  <c r="AP133" i="72"/>
  <c r="AP135" i="72"/>
  <c r="AL78" i="72"/>
  <c r="AL96" i="72"/>
  <c r="AL80" i="72"/>
  <c r="AL112" i="72"/>
  <c r="AL48" i="72"/>
  <c r="AM29" i="72"/>
  <c r="AL108" i="72"/>
  <c r="AL54" i="72"/>
  <c r="AL114" i="72"/>
  <c r="AL132" i="72"/>
  <c r="AL124" i="72"/>
  <c r="AL76" i="72"/>
  <c r="AL58" i="72"/>
  <c r="AL74" i="72"/>
  <c r="AL94" i="72"/>
  <c r="AL84" i="72"/>
  <c r="AL90" i="72"/>
  <c r="AL130" i="72"/>
  <c r="AL126" i="72"/>
  <c r="AL104" i="72"/>
  <c r="AL82" i="72"/>
  <c r="AL116" i="72"/>
  <c r="AL56" i="72"/>
  <c r="AL62" i="72"/>
  <c r="AL68" i="72"/>
  <c r="AL92" i="72"/>
  <c r="AL66" i="72"/>
  <c r="AL106" i="72"/>
  <c r="AL86" i="72"/>
  <c r="AL52" i="72"/>
  <c r="AL100" i="72"/>
  <c r="AL120" i="72"/>
  <c r="AL122" i="72"/>
  <c r="AL72" i="72"/>
  <c r="AL88" i="72"/>
  <c r="AL70" i="72"/>
  <c r="AL102" i="72"/>
  <c r="AL60" i="72"/>
  <c r="AL50" i="72"/>
  <c r="AL98" i="72"/>
  <c r="AL64" i="72"/>
  <c r="AL110" i="72"/>
  <c r="AL128" i="72"/>
  <c r="AL118" i="72"/>
  <c r="AP91" i="72"/>
  <c r="AP69" i="72"/>
  <c r="AP119" i="72"/>
  <c r="AP63" i="72"/>
  <c r="AP61" i="72"/>
  <c r="AP99" i="72"/>
  <c r="AP47" i="72"/>
  <c r="AP103" i="72"/>
  <c r="AP89" i="72"/>
  <c r="AP131" i="72"/>
  <c r="AP125" i="72"/>
  <c r="AP49" i="72"/>
  <c r="AQ28" i="72"/>
  <c r="AP97" i="72"/>
  <c r="AP87" i="72"/>
  <c r="AP51" i="72"/>
  <c r="AP113" i="72"/>
  <c r="AP121" i="72"/>
  <c r="AP129" i="72"/>
  <c r="AP117" i="72"/>
  <c r="AP77" i="72"/>
  <c r="AP65" i="72"/>
  <c r="AP127" i="72"/>
  <c r="AP93" i="72"/>
  <c r="AP111" i="72"/>
  <c r="AP75" i="72"/>
  <c r="AP83" i="72"/>
  <c r="AP123" i="72"/>
  <c r="AP73" i="72"/>
  <c r="AP115" i="72"/>
  <c r="AP59" i="72"/>
  <c r="AP101" i="72"/>
  <c r="AP79" i="72"/>
  <c r="AP107" i="72"/>
  <c r="AP67" i="72"/>
  <c r="AP95" i="72"/>
  <c r="AP71" i="72"/>
  <c r="AP81" i="72"/>
  <c r="AP109" i="72"/>
  <c r="AP53" i="72"/>
  <c r="AP57" i="72"/>
  <c r="AP85" i="72"/>
  <c r="AP55" i="72"/>
  <c r="AP105" i="72"/>
  <c r="AP136" i="72" l="1"/>
  <c r="AP134" i="72"/>
  <c r="AT133" i="72"/>
  <c r="AT135" i="72"/>
  <c r="AQ29" i="72"/>
  <c r="AP100" i="72"/>
  <c r="AP66" i="72"/>
  <c r="AP104" i="72"/>
  <c r="AP106" i="72"/>
  <c r="AP72" i="72"/>
  <c r="AP108" i="72"/>
  <c r="AP90" i="72"/>
  <c r="AP102" i="72"/>
  <c r="AP50" i="72"/>
  <c r="AP114" i="72"/>
  <c r="AP82" i="72"/>
  <c r="AP88" i="72"/>
  <c r="AP74" i="72"/>
  <c r="AP122" i="72"/>
  <c r="AP126" i="72"/>
  <c r="AP98" i="72"/>
  <c r="AP130" i="72"/>
  <c r="AP62" i="72"/>
  <c r="AP48" i="72"/>
  <c r="AP116" i="72"/>
  <c r="AP54" i="72"/>
  <c r="AP112" i="72"/>
  <c r="AP70" i="72"/>
  <c r="AP118" i="72"/>
  <c r="AP68" i="72"/>
  <c r="AP60" i="72"/>
  <c r="AP124" i="72"/>
  <c r="AP58" i="72"/>
  <c r="AP92" i="72"/>
  <c r="AP120" i="72"/>
  <c r="AP84" i="72"/>
  <c r="AP56" i="72"/>
  <c r="AP94" i="72"/>
  <c r="AP76" i="72"/>
  <c r="AP96" i="72"/>
  <c r="AP64" i="72"/>
  <c r="AP110" i="72"/>
  <c r="AP128" i="72"/>
  <c r="AP86" i="72"/>
  <c r="AP80" i="72"/>
  <c r="AP78" i="72"/>
  <c r="AP52" i="72"/>
  <c r="AP132" i="72"/>
  <c r="AT59" i="72"/>
  <c r="AT91" i="72"/>
  <c r="AT71" i="72"/>
  <c r="AT103" i="72"/>
  <c r="AT63" i="72"/>
  <c r="AT47" i="72"/>
  <c r="AT61" i="72"/>
  <c r="AT73" i="72"/>
  <c r="AT123" i="72"/>
  <c r="AT109" i="72"/>
  <c r="AT121" i="72"/>
  <c r="AT49" i="72"/>
  <c r="AT99" i="72"/>
  <c r="AT85" i="72"/>
  <c r="AT115" i="72"/>
  <c r="AT67" i="72"/>
  <c r="AT57" i="72"/>
  <c r="BS28" i="72"/>
  <c r="AT101" i="72"/>
  <c r="AT127" i="72"/>
  <c r="AT117" i="72"/>
  <c r="AT125" i="72"/>
  <c r="AT113" i="72"/>
  <c r="AT65" i="72"/>
  <c r="AT107" i="72"/>
  <c r="AT55" i="72"/>
  <c r="AT69" i="72"/>
  <c r="AT95" i="72"/>
  <c r="AT79" i="72"/>
  <c r="AT83" i="72"/>
  <c r="AT111" i="72"/>
  <c r="AT129" i="72"/>
  <c r="AT77" i="72"/>
  <c r="AT51" i="72"/>
  <c r="AT53" i="72"/>
  <c r="AT75" i="72"/>
  <c r="AT93" i="72"/>
  <c r="AT87" i="72"/>
  <c r="AT105" i="72"/>
  <c r="AT81" i="72"/>
  <c r="AT89" i="72"/>
  <c r="AT119" i="72"/>
  <c r="AT131" i="72"/>
  <c r="AT97" i="72"/>
  <c r="AT134" i="72" l="1"/>
  <c r="AT136" i="72"/>
  <c r="BV135" i="72"/>
  <c r="BV133" i="72"/>
  <c r="BV55" i="72"/>
  <c r="BV99" i="72"/>
  <c r="BV67" i="72"/>
  <c r="BV87" i="72"/>
  <c r="BV131" i="72"/>
  <c r="BV105" i="72"/>
  <c r="BV95" i="72"/>
  <c r="BV77" i="72"/>
  <c r="BV73" i="72"/>
  <c r="BV123" i="72"/>
  <c r="BV129" i="72"/>
  <c r="BV61" i="72"/>
  <c r="BV75" i="72"/>
  <c r="BV107" i="72"/>
  <c r="BV63" i="72"/>
  <c r="BV101" i="72"/>
  <c r="BV71" i="72"/>
  <c r="BV89" i="72"/>
  <c r="BV109" i="72"/>
  <c r="BV97" i="72"/>
  <c r="BV57" i="72"/>
  <c r="BV125" i="72"/>
  <c r="BV65" i="72"/>
  <c r="BV69" i="72"/>
  <c r="BV115" i="72"/>
  <c r="BV81" i="72"/>
  <c r="BV111" i="72"/>
  <c r="BV49" i="72"/>
  <c r="BV53" i="72"/>
  <c r="BV83" i="72"/>
  <c r="BV113" i="72"/>
  <c r="BV91" i="72"/>
  <c r="BV127" i="72"/>
  <c r="BV47" i="72"/>
  <c r="CY47" i="72" s="1"/>
  <c r="DA47" i="72" s="1"/>
  <c r="BW28" i="72"/>
  <c r="BV51" i="72"/>
  <c r="BV85" i="72"/>
  <c r="BV117" i="72"/>
  <c r="BV93" i="72"/>
  <c r="BV79" i="72"/>
  <c r="BV59" i="72"/>
  <c r="BV119" i="72"/>
  <c r="BV103" i="72"/>
  <c r="BV121" i="72"/>
  <c r="AT68" i="72"/>
  <c r="AT102" i="72"/>
  <c r="AT114" i="72"/>
  <c r="AT60" i="72"/>
  <c r="AT84" i="72"/>
  <c r="AT130" i="72"/>
  <c r="AT118" i="72"/>
  <c r="AT52" i="72"/>
  <c r="AT50" i="72"/>
  <c r="AT110" i="72"/>
  <c r="AT56" i="72"/>
  <c r="AT48" i="72"/>
  <c r="AT62" i="72"/>
  <c r="AT116" i="72"/>
  <c r="AT88" i="72"/>
  <c r="AT106" i="72"/>
  <c r="AT108" i="72"/>
  <c r="AT124" i="72"/>
  <c r="AT126" i="72"/>
  <c r="AT54" i="72"/>
  <c r="AT86" i="72"/>
  <c r="AT72" i="72"/>
  <c r="AT92" i="72"/>
  <c r="AT80" i="72"/>
  <c r="AT90" i="72"/>
  <c r="AT98" i="72"/>
  <c r="BS29" i="72"/>
  <c r="AT94" i="72"/>
  <c r="AT70" i="72"/>
  <c r="AT104" i="72"/>
  <c r="AT58" i="72"/>
  <c r="AT100" i="72"/>
  <c r="AT96" i="72"/>
  <c r="AT74" i="72"/>
  <c r="AT64" i="72"/>
  <c r="AT120" i="72"/>
  <c r="AT128" i="72"/>
  <c r="AT76" i="72"/>
  <c r="AT112" i="72"/>
  <c r="AT82" i="72"/>
  <c r="AT66" i="72"/>
  <c r="AT132" i="72"/>
  <c r="AT78" i="72"/>
  <c r="AT122" i="72"/>
  <c r="BV134" i="72" l="1"/>
  <c r="BV136" i="72"/>
  <c r="BZ133" i="72"/>
  <c r="BZ135" i="72"/>
  <c r="BZ137" i="72"/>
  <c r="BV90" i="72"/>
  <c r="BV66" i="72"/>
  <c r="BV116" i="72"/>
  <c r="BV70" i="72"/>
  <c r="BV120" i="72"/>
  <c r="BV88" i="72"/>
  <c r="CE29" i="72"/>
  <c r="BV106" i="72"/>
  <c r="BV48" i="72"/>
  <c r="CY48" i="72" s="1"/>
  <c r="CZ48" i="72" s="1"/>
  <c r="CA29" i="72"/>
  <c r="BV132" i="72"/>
  <c r="BV126" i="72"/>
  <c r="BV74" i="72"/>
  <c r="BV130" i="72"/>
  <c r="BV78" i="72"/>
  <c r="BV110" i="72"/>
  <c r="BV122" i="72"/>
  <c r="BV82" i="72"/>
  <c r="BV92" i="72"/>
  <c r="BV62" i="72"/>
  <c r="BV72" i="72"/>
  <c r="BV128" i="72"/>
  <c r="BV76" i="72"/>
  <c r="BV86" i="72"/>
  <c r="BV54" i="72"/>
  <c r="BV96" i="72"/>
  <c r="BV64" i="72"/>
  <c r="BV52" i="72"/>
  <c r="BV58" i="72"/>
  <c r="BV56" i="72"/>
  <c r="BV100" i="72"/>
  <c r="BV102" i="72"/>
  <c r="BV104" i="72"/>
  <c r="BV98" i="72"/>
  <c r="BV80" i="72"/>
  <c r="BV108" i="72"/>
  <c r="BV84" i="72"/>
  <c r="BV112" i="72"/>
  <c r="BV60" i="72"/>
  <c r="BV118" i="72"/>
  <c r="BV94" i="72"/>
  <c r="BV50" i="72"/>
  <c r="BV68" i="72"/>
  <c r="BV114" i="72"/>
  <c r="BV124" i="72"/>
  <c r="BZ51" i="72"/>
  <c r="BZ59" i="72"/>
  <c r="BZ109" i="72"/>
  <c r="BZ63" i="72"/>
  <c r="BZ119" i="72"/>
  <c r="BZ75" i="72"/>
  <c r="CA28" i="72"/>
  <c r="BZ103" i="72"/>
  <c r="BW29" i="72"/>
  <c r="BZ49" i="72"/>
  <c r="BZ131" i="72"/>
  <c r="BZ79" i="72"/>
  <c r="BZ93" i="72"/>
  <c r="BZ117" i="72"/>
  <c r="BZ53" i="72"/>
  <c r="BZ121" i="72"/>
  <c r="BZ99" i="72"/>
  <c r="BZ73" i="72"/>
  <c r="BZ115" i="72"/>
  <c r="BZ95" i="72"/>
  <c r="BZ55" i="72"/>
  <c r="BZ125" i="72"/>
  <c r="BZ57" i="72"/>
  <c r="BZ69" i="72"/>
  <c r="BZ83" i="72"/>
  <c r="BZ97" i="72"/>
  <c r="BZ77" i="72"/>
  <c r="BZ113" i="72"/>
  <c r="BZ89" i="72"/>
  <c r="BZ91" i="72"/>
  <c r="BZ105" i="72"/>
  <c r="BZ85" i="72"/>
  <c r="BZ127" i="72"/>
  <c r="BZ61" i="72"/>
  <c r="BZ101" i="72"/>
  <c r="BZ67" i="72"/>
  <c r="BZ107" i="72"/>
  <c r="BZ71" i="72"/>
  <c r="BZ123" i="72"/>
  <c r="BZ87" i="72"/>
  <c r="BZ81" i="72"/>
  <c r="BZ65" i="72"/>
  <c r="BZ111" i="72"/>
  <c r="BZ129" i="72"/>
  <c r="CD133" i="72" l="1"/>
  <c r="CD135" i="72"/>
  <c r="CD137" i="72"/>
  <c r="CH136" i="72"/>
  <c r="CH134" i="72"/>
  <c r="CH138" i="72"/>
  <c r="BZ134" i="72"/>
  <c r="BZ136" i="72"/>
  <c r="BZ138" i="72"/>
  <c r="CD136" i="72"/>
  <c r="CD138" i="72"/>
  <c r="CD134" i="72"/>
  <c r="CD69" i="72"/>
  <c r="CD73" i="72"/>
  <c r="CD127" i="72"/>
  <c r="CD121" i="72"/>
  <c r="CD61" i="72"/>
  <c r="CD67" i="72"/>
  <c r="CD99" i="72"/>
  <c r="CD79" i="72"/>
  <c r="CD101" i="72"/>
  <c r="CD81" i="72"/>
  <c r="CD131" i="72"/>
  <c r="CD85" i="72"/>
  <c r="CD63" i="72"/>
  <c r="CD125" i="72"/>
  <c r="CD89" i="72"/>
  <c r="CD105" i="72"/>
  <c r="CD59" i="72"/>
  <c r="CD57" i="72"/>
  <c r="CD87" i="72"/>
  <c r="CD71" i="72"/>
  <c r="CD109" i="72"/>
  <c r="CD51" i="72"/>
  <c r="CD111" i="72"/>
  <c r="CD93" i="72"/>
  <c r="CD119" i="72"/>
  <c r="CD55" i="72"/>
  <c r="CD129" i="72"/>
  <c r="CD115" i="72"/>
  <c r="CD97" i="72"/>
  <c r="CD65" i="72"/>
  <c r="CD113" i="72"/>
  <c r="CE28" i="72"/>
  <c r="CD107" i="72"/>
  <c r="CD83" i="72"/>
  <c r="CD53" i="72"/>
  <c r="CD75" i="72"/>
  <c r="CD123" i="72"/>
  <c r="CD103" i="72"/>
  <c r="CD49" i="72"/>
  <c r="CD117" i="72"/>
  <c r="CD95" i="72"/>
  <c r="CD91" i="72"/>
  <c r="CD77" i="72"/>
  <c r="CH50" i="72"/>
  <c r="CH104" i="72"/>
  <c r="CH80" i="72"/>
  <c r="CH106" i="72"/>
  <c r="CH58" i="72"/>
  <c r="CH72" i="72"/>
  <c r="CH122" i="72"/>
  <c r="CH98" i="72"/>
  <c r="CH52" i="72"/>
  <c r="CH102" i="72"/>
  <c r="CH60" i="72"/>
  <c r="CH112" i="72"/>
  <c r="CH74" i="72"/>
  <c r="CH116" i="72"/>
  <c r="CH118" i="72"/>
  <c r="CH66" i="72"/>
  <c r="CH62" i="72"/>
  <c r="CH110" i="72"/>
  <c r="CH100" i="72"/>
  <c r="CH130" i="72"/>
  <c r="CH76" i="72"/>
  <c r="CH84" i="72"/>
  <c r="CH120" i="72"/>
  <c r="CH92" i="72"/>
  <c r="CH70" i="72"/>
  <c r="CH124" i="72"/>
  <c r="CH94" i="72"/>
  <c r="CH54" i="72"/>
  <c r="CH88" i="72"/>
  <c r="CH114" i="72"/>
  <c r="CH126" i="72"/>
  <c r="CH64" i="72"/>
  <c r="CH96" i="72"/>
  <c r="CH82" i="72"/>
  <c r="CH90" i="72"/>
  <c r="CH86" i="72"/>
  <c r="CH56" i="72"/>
  <c r="CH108" i="72"/>
  <c r="CH78" i="72"/>
  <c r="CH68" i="72"/>
  <c r="CH128" i="72"/>
  <c r="CH132" i="72"/>
  <c r="BZ122" i="72"/>
  <c r="BZ74" i="72"/>
  <c r="BZ100" i="72"/>
  <c r="BZ126" i="72"/>
  <c r="BZ94" i="72"/>
  <c r="BZ62" i="72"/>
  <c r="BZ118" i="72"/>
  <c r="BZ82" i="72"/>
  <c r="BZ50" i="72"/>
  <c r="BZ102" i="72"/>
  <c r="BZ114" i="72"/>
  <c r="BZ76" i="72"/>
  <c r="BZ96" i="72"/>
  <c r="BZ108" i="72"/>
  <c r="BZ128" i="72"/>
  <c r="BZ104" i="72"/>
  <c r="BZ78" i="72"/>
  <c r="BZ84" i="72"/>
  <c r="BZ98" i="72"/>
  <c r="BZ92" i="72"/>
  <c r="BZ112" i="72"/>
  <c r="BZ130" i="72"/>
  <c r="BZ58" i="72"/>
  <c r="BZ56" i="72"/>
  <c r="BZ116" i="72"/>
  <c r="BZ132" i="72"/>
  <c r="BZ64" i="72"/>
  <c r="BZ80" i="72"/>
  <c r="BZ52" i="72"/>
  <c r="BZ110" i="72"/>
  <c r="BZ54" i="72"/>
  <c r="BZ88" i="72"/>
  <c r="BZ70" i="72"/>
  <c r="BZ90" i="72"/>
  <c r="BZ124" i="72"/>
  <c r="BZ68" i="72"/>
  <c r="BZ86" i="72"/>
  <c r="BZ106" i="72"/>
  <c r="BZ60" i="72"/>
  <c r="BZ120" i="72"/>
  <c r="BZ66" i="72"/>
  <c r="BZ72" i="72"/>
  <c r="CD76" i="72"/>
  <c r="CD74" i="72"/>
  <c r="CD120" i="72"/>
  <c r="CD50" i="72"/>
  <c r="CD122" i="72"/>
  <c r="CD62" i="72"/>
  <c r="CD106" i="72"/>
  <c r="CD94" i="72"/>
  <c r="CD60" i="72"/>
  <c r="CD132" i="72"/>
  <c r="CD128" i="72"/>
  <c r="CD68" i="72"/>
  <c r="CD96" i="72"/>
  <c r="CD70" i="72"/>
  <c r="CD98" i="72"/>
  <c r="CD72" i="72"/>
  <c r="CD66" i="72"/>
  <c r="CD80" i="72"/>
  <c r="CD110" i="72"/>
  <c r="CD100" i="72"/>
  <c r="CD56" i="72"/>
  <c r="CD130" i="72"/>
  <c r="CD92" i="72"/>
  <c r="CD104" i="72"/>
  <c r="CD52" i="72"/>
  <c r="CD108" i="72"/>
  <c r="CD86" i="72"/>
  <c r="CD78" i="72"/>
  <c r="CD82" i="72"/>
  <c r="CD88" i="72"/>
  <c r="CD114" i="72"/>
  <c r="CD116" i="72"/>
  <c r="CD58" i="72"/>
  <c r="CD112" i="72"/>
  <c r="CD64" i="72"/>
  <c r="CD118" i="72"/>
  <c r="CD102" i="72"/>
  <c r="CD90" i="72"/>
  <c r="CD84" i="72"/>
  <c r="CD54" i="72"/>
  <c r="CD126" i="72"/>
  <c r="CD124" i="72"/>
  <c r="CH137" i="72" l="1"/>
  <c r="CH135" i="72"/>
  <c r="CH133" i="72"/>
  <c r="CH71" i="72"/>
  <c r="CH57" i="72"/>
  <c r="CH117" i="72"/>
  <c r="CH95" i="72"/>
  <c r="CH55" i="72"/>
  <c r="CH107" i="72"/>
  <c r="CH73" i="72"/>
  <c r="CH111" i="72"/>
  <c r="CH69" i="72"/>
  <c r="CH113" i="72"/>
  <c r="CH115" i="72"/>
  <c r="CH123" i="72"/>
  <c r="CH91" i="72"/>
  <c r="CH85" i="72"/>
  <c r="CH89" i="72"/>
  <c r="CH129" i="72"/>
  <c r="CH83" i="72"/>
  <c r="CH97" i="72"/>
  <c r="CH105" i="72"/>
  <c r="CH119" i="72"/>
  <c r="CH61" i="72"/>
  <c r="CI28" i="72"/>
  <c r="CH101" i="72"/>
  <c r="CH125" i="72"/>
  <c r="CH67" i="72"/>
  <c r="CH59" i="72"/>
  <c r="CH53" i="72"/>
  <c r="CH79" i="72"/>
  <c r="CH81" i="72"/>
  <c r="CH51" i="72"/>
  <c r="CH93" i="72"/>
  <c r="CH77" i="72"/>
  <c r="CH109" i="72"/>
  <c r="CH127" i="72"/>
  <c r="CH63" i="72"/>
  <c r="CH87" i="72"/>
  <c r="CH65" i="72"/>
  <c r="CH99" i="72"/>
  <c r="CH49" i="72"/>
  <c r="CY49" i="72" s="1"/>
  <c r="DA49" i="72" s="1"/>
  <c r="CH103" i="72"/>
  <c r="CH75" i="72"/>
  <c r="CH121" i="72"/>
  <c r="CH131" i="72"/>
  <c r="CY50" i="72"/>
  <c r="CZ50" i="72" s="1"/>
  <c r="CL135" i="72" l="1"/>
  <c r="CL133" i="72"/>
  <c r="CY133" i="72" s="1"/>
  <c r="DA133" i="72" s="1"/>
  <c r="CL139" i="72"/>
  <c r="CL137" i="72"/>
  <c r="CM28" i="72"/>
  <c r="CL89" i="72"/>
  <c r="CY89" i="72" s="1"/>
  <c r="DA89" i="72" s="1"/>
  <c r="CL117" i="72"/>
  <c r="CY117" i="72" s="1"/>
  <c r="DA117" i="72" s="1"/>
  <c r="CL52" i="72"/>
  <c r="CY52" i="72" s="1"/>
  <c r="CZ52" i="72" s="1"/>
  <c r="CL71" i="72"/>
  <c r="CY71" i="72" s="1"/>
  <c r="DA71" i="72" s="1"/>
  <c r="CL131" i="72"/>
  <c r="CY131" i="72" s="1"/>
  <c r="DA131" i="72" s="1"/>
  <c r="CL53" i="72"/>
  <c r="CY53" i="72" s="1"/>
  <c r="DA53" i="72" s="1"/>
  <c r="CL95" i="72"/>
  <c r="CY95" i="72" s="1"/>
  <c r="DA95" i="72" s="1"/>
  <c r="CL119" i="72"/>
  <c r="CY119" i="72" s="1"/>
  <c r="DA119" i="72" s="1"/>
  <c r="CI29" i="72"/>
  <c r="CL121" i="72"/>
  <c r="CY121" i="72" s="1"/>
  <c r="DA121" i="72" s="1"/>
  <c r="CL77" i="72"/>
  <c r="CY77" i="72" s="1"/>
  <c r="DA77" i="72" s="1"/>
  <c r="CL75" i="72"/>
  <c r="CY75" i="72" s="1"/>
  <c r="DA75" i="72" s="1"/>
  <c r="CL125" i="72"/>
  <c r="CY125" i="72" s="1"/>
  <c r="DA125" i="72" s="1"/>
  <c r="CL65" i="72"/>
  <c r="CY65" i="72" s="1"/>
  <c r="DA65" i="72" s="1"/>
  <c r="CL81" i="72"/>
  <c r="CY81" i="72" s="1"/>
  <c r="DA81" i="72" s="1"/>
  <c r="CL51" i="72"/>
  <c r="CY51" i="72" s="1"/>
  <c r="DA51" i="72" s="1"/>
  <c r="CL63" i="72"/>
  <c r="CY63" i="72" s="1"/>
  <c r="DA63" i="72" s="1"/>
  <c r="CL69" i="72"/>
  <c r="CY69" i="72" s="1"/>
  <c r="DA69" i="72" s="1"/>
  <c r="CL129" i="72"/>
  <c r="CY129" i="72" s="1"/>
  <c r="DA129" i="72" s="1"/>
  <c r="CL79" i="72"/>
  <c r="CY79" i="72" s="1"/>
  <c r="DA79" i="72" s="1"/>
  <c r="CL55" i="72"/>
  <c r="CY55" i="72" s="1"/>
  <c r="DA55" i="72" s="1"/>
  <c r="CL97" i="72"/>
  <c r="CY97" i="72" s="1"/>
  <c r="DA97" i="72" s="1"/>
  <c r="CL91" i="72"/>
  <c r="CY91" i="72" s="1"/>
  <c r="DA91" i="72" s="1"/>
  <c r="CL87" i="72"/>
  <c r="CY87" i="72" s="1"/>
  <c r="DA87" i="72" s="1"/>
  <c r="CL59" i="72"/>
  <c r="CY59" i="72" s="1"/>
  <c r="DA59" i="72" s="1"/>
  <c r="CL83" i="72"/>
  <c r="CY83" i="72" s="1"/>
  <c r="DA83" i="72" s="1"/>
  <c r="CL105" i="72"/>
  <c r="CY105" i="72" s="1"/>
  <c r="DA105" i="72" s="1"/>
  <c r="CL113" i="72"/>
  <c r="CY113" i="72" s="1"/>
  <c r="DA113" i="72" s="1"/>
  <c r="CL103" i="72"/>
  <c r="CY103" i="72" s="1"/>
  <c r="DA103" i="72" s="1"/>
  <c r="CL93" i="72"/>
  <c r="CY93" i="72" s="1"/>
  <c r="DA93" i="72" s="1"/>
  <c r="CL57" i="72"/>
  <c r="CY57" i="72" s="1"/>
  <c r="DA57" i="72" s="1"/>
  <c r="CL99" i="72"/>
  <c r="CY99" i="72" s="1"/>
  <c r="DA99" i="72" s="1"/>
  <c r="CL109" i="72"/>
  <c r="CY109" i="72" s="1"/>
  <c r="DA109" i="72" s="1"/>
  <c r="CL111" i="72"/>
  <c r="CY111" i="72" s="1"/>
  <c r="DA111" i="72" s="1"/>
  <c r="CL67" i="72"/>
  <c r="CY67" i="72" s="1"/>
  <c r="DA67" i="72" s="1"/>
  <c r="CL123" i="72"/>
  <c r="CY123" i="72" s="1"/>
  <c r="DA123" i="72" s="1"/>
  <c r="CL61" i="72"/>
  <c r="CY61" i="72" s="1"/>
  <c r="DA61" i="72" s="1"/>
  <c r="CL101" i="72"/>
  <c r="CY101" i="72" s="1"/>
  <c r="DA101" i="72" s="1"/>
  <c r="CL107" i="72"/>
  <c r="CY107" i="72" s="1"/>
  <c r="DA107" i="72" s="1"/>
  <c r="CL85" i="72"/>
  <c r="CY85" i="72" s="1"/>
  <c r="DA85" i="72" s="1"/>
  <c r="CL73" i="72"/>
  <c r="CY73" i="72" s="1"/>
  <c r="DA73" i="72" s="1"/>
  <c r="CL127" i="72"/>
  <c r="CY127" i="72" s="1"/>
  <c r="DA127" i="72" s="1"/>
  <c r="CL115" i="72"/>
  <c r="CY115" i="72" s="1"/>
  <c r="DA115" i="72" s="1"/>
  <c r="CL136" i="72" l="1"/>
  <c r="CL140" i="72"/>
  <c r="CL134" i="72"/>
  <c r="CY134" i="72" s="1"/>
  <c r="CZ134" i="72" s="1"/>
  <c r="CL138" i="72"/>
  <c r="CP143" i="72"/>
  <c r="CP147" i="72"/>
  <c r="CP145" i="72"/>
  <c r="CP133" i="72"/>
  <c r="CP135" i="72"/>
  <c r="CP137" i="72"/>
  <c r="CP139" i="72"/>
  <c r="CP141" i="72"/>
  <c r="CL94" i="72"/>
  <c r="CY94" i="72" s="1"/>
  <c r="CZ94" i="72" s="1"/>
  <c r="CL122" i="72"/>
  <c r="CY122" i="72" s="1"/>
  <c r="CZ122" i="72" s="1"/>
  <c r="CL72" i="72"/>
  <c r="CY72" i="72" s="1"/>
  <c r="CZ72" i="72" s="1"/>
  <c r="CL100" i="72"/>
  <c r="CY100" i="72" s="1"/>
  <c r="CZ100" i="72" s="1"/>
  <c r="CL108" i="72"/>
  <c r="CY108" i="72" s="1"/>
  <c r="CZ108" i="72" s="1"/>
  <c r="CL90" i="72"/>
  <c r="CY90" i="72" s="1"/>
  <c r="CZ90" i="72" s="1"/>
  <c r="CL102" i="72"/>
  <c r="CY102" i="72" s="1"/>
  <c r="CZ102" i="72" s="1"/>
  <c r="CL56" i="72"/>
  <c r="CY56" i="72" s="1"/>
  <c r="CZ56" i="72" s="1"/>
  <c r="DB56" i="72" s="1"/>
  <c r="CL106" i="72"/>
  <c r="CY106" i="72" s="1"/>
  <c r="CZ106" i="72" s="1"/>
  <c r="CL116" i="72"/>
  <c r="CY116" i="72" s="1"/>
  <c r="CZ116" i="72" s="1"/>
  <c r="CL70" i="72"/>
  <c r="CY70" i="72" s="1"/>
  <c r="CZ70" i="72" s="1"/>
  <c r="CL58" i="72"/>
  <c r="CY58" i="72" s="1"/>
  <c r="CZ58" i="72" s="1"/>
  <c r="DB58" i="72" s="1"/>
  <c r="CL112" i="72"/>
  <c r="CY112" i="72" s="1"/>
  <c r="CZ112" i="72" s="1"/>
  <c r="CL126" i="72"/>
  <c r="CY126" i="72" s="1"/>
  <c r="CZ126" i="72" s="1"/>
  <c r="CL92" i="72"/>
  <c r="CY92" i="72" s="1"/>
  <c r="CZ92" i="72" s="1"/>
  <c r="CL74" i="72"/>
  <c r="CY74" i="72" s="1"/>
  <c r="CZ74" i="72" s="1"/>
  <c r="CL130" i="72"/>
  <c r="CY130" i="72" s="1"/>
  <c r="CZ130" i="72" s="1"/>
  <c r="CL104" i="72"/>
  <c r="CY104" i="72" s="1"/>
  <c r="CZ104" i="72" s="1"/>
  <c r="CL88" i="72"/>
  <c r="CY88" i="72" s="1"/>
  <c r="CZ88" i="72" s="1"/>
  <c r="CL110" i="72"/>
  <c r="CY110" i="72" s="1"/>
  <c r="CZ110" i="72" s="1"/>
  <c r="CL96" i="72"/>
  <c r="CY96" i="72" s="1"/>
  <c r="CZ96" i="72" s="1"/>
  <c r="CL66" i="72"/>
  <c r="CY66" i="72" s="1"/>
  <c r="CZ66" i="72" s="1"/>
  <c r="CL76" i="72"/>
  <c r="CY76" i="72" s="1"/>
  <c r="CZ76" i="72" s="1"/>
  <c r="CL128" i="72"/>
  <c r="CY128" i="72" s="1"/>
  <c r="CZ128" i="72" s="1"/>
  <c r="CL132" i="72"/>
  <c r="CY132" i="72" s="1"/>
  <c r="CZ132" i="72" s="1"/>
  <c r="CL120" i="72"/>
  <c r="CY120" i="72" s="1"/>
  <c r="CZ120" i="72" s="1"/>
  <c r="CL84" i="72"/>
  <c r="CY84" i="72" s="1"/>
  <c r="CZ84" i="72" s="1"/>
  <c r="CL78" i="72"/>
  <c r="CY78" i="72" s="1"/>
  <c r="CZ78" i="72" s="1"/>
  <c r="CL82" i="72"/>
  <c r="CY82" i="72" s="1"/>
  <c r="CZ82" i="72" s="1"/>
  <c r="CL114" i="72"/>
  <c r="CY114" i="72" s="1"/>
  <c r="CZ114" i="72" s="1"/>
  <c r="CL54" i="72"/>
  <c r="CY54" i="72" s="1"/>
  <c r="CZ54" i="72" s="1"/>
  <c r="CL60" i="72"/>
  <c r="CY60" i="72" s="1"/>
  <c r="CZ60" i="72" s="1"/>
  <c r="DB60" i="72" s="1"/>
  <c r="CL98" i="72"/>
  <c r="CY98" i="72" s="1"/>
  <c r="CZ98" i="72" s="1"/>
  <c r="CL64" i="72"/>
  <c r="CY64" i="72" s="1"/>
  <c r="CZ64" i="72" s="1"/>
  <c r="CL124" i="72"/>
  <c r="CY124" i="72" s="1"/>
  <c r="CZ124" i="72" s="1"/>
  <c r="CL118" i="72"/>
  <c r="CY118" i="72" s="1"/>
  <c r="CZ118" i="72" s="1"/>
  <c r="CL86" i="72"/>
  <c r="CY86" i="72" s="1"/>
  <c r="CZ86" i="72" s="1"/>
  <c r="CL62" i="72"/>
  <c r="CY62" i="72" s="1"/>
  <c r="CZ62" i="72" s="1"/>
  <c r="DB62" i="72" s="1"/>
  <c r="CL68" i="72"/>
  <c r="CY68" i="72" s="1"/>
  <c r="CZ68" i="72" s="1"/>
  <c r="CL80" i="72"/>
  <c r="CY80" i="72" s="1"/>
  <c r="CZ80" i="72" s="1"/>
  <c r="CP59" i="72"/>
  <c r="CP67" i="72"/>
  <c r="CP75" i="72"/>
  <c r="CP83" i="72"/>
  <c r="CP91" i="72"/>
  <c r="CP99" i="72"/>
  <c r="CP107" i="72"/>
  <c r="CP115" i="72"/>
  <c r="CP123" i="72"/>
  <c r="CP131" i="72"/>
  <c r="CQ28" i="72"/>
  <c r="CP61" i="72"/>
  <c r="CP69" i="72"/>
  <c r="CP77" i="72"/>
  <c r="CP85" i="72"/>
  <c r="CP93" i="72"/>
  <c r="CP101" i="72"/>
  <c r="CP109" i="72"/>
  <c r="CP117" i="72"/>
  <c r="CP125" i="72"/>
  <c r="CM29" i="72"/>
  <c r="CP63" i="72"/>
  <c r="CP71" i="72"/>
  <c r="CP79" i="72"/>
  <c r="CP87" i="72"/>
  <c r="CP95" i="72"/>
  <c r="CP103" i="72"/>
  <c r="CP111" i="72"/>
  <c r="CP119" i="72"/>
  <c r="CP127" i="72"/>
  <c r="CP65" i="72"/>
  <c r="CP73" i="72"/>
  <c r="CP81" i="72"/>
  <c r="CP89" i="72"/>
  <c r="CP97" i="72"/>
  <c r="CP105" i="72"/>
  <c r="CP113" i="72"/>
  <c r="CP121" i="72"/>
  <c r="CP129" i="72"/>
  <c r="H283" i="48" l="1"/>
  <c r="H285" i="48" s="1"/>
  <c r="H289" i="48" s="1"/>
  <c r="CT59" i="72"/>
  <c r="CT133" i="72"/>
  <c r="CT135" i="72"/>
  <c r="CT137" i="72"/>
  <c r="CT139" i="72"/>
  <c r="CT141" i="72"/>
  <c r="CT143" i="72"/>
  <c r="CT145" i="72"/>
  <c r="CT147" i="72"/>
  <c r="CP148" i="72"/>
  <c r="CP144" i="72"/>
  <c r="CP146" i="72"/>
  <c r="CP134" i="72"/>
  <c r="CP136" i="72"/>
  <c r="CP138" i="72"/>
  <c r="CP140" i="72"/>
  <c r="CP142" i="72"/>
  <c r="CT67" i="72"/>
  <c r="CT75" i="72"/>
  <c r="CT83" i="72"/>
  <c r="CT91" i="72"/>
  <c r="CT99" i="72"/>
  <c r="CT107" i="72"/>
  <c r="CT115" i="72"/>
  <c r="CT123" i="72"/>
  <c r="CT131" i="72"/>
  <c r="CT63" i="72"/>
  <c r="CT95" i="72"/>
  <c r="CT111" i="72"/>
  <c r="CU28" i="72"/>
  <c r="CT61" i="72"/>
  <c r="CT69" i="72"/>
  <c r="CT77" i="72"/>
  <c r="CT85" i="72"/>
  <c r="CT93" i="72"/>
  <c r="CT101" i="72"/>
  <c r="CT109" i="72"/>
  <c r="CT117" i="72"/>
  <c r="CT125" i="72"/>
  <c r="CT71" i="72"/>
  <c r="CT103" i="72"/>
  <c r="CT127" i="72"/>
  <c r="CT87" i="72"/>
  <c r="CQ29" i="72"/>
  <c r="CT65" i="72"/>
  <c r="CT73" i="72"/>
  <c r="CT81" i="72"/>
  <c r="CT89" i="72"/>
  <c r="CT97" i="72"/>
  <c r="CT105" i="72"/>
  <c r="CT113" i="72"/>
  <c r="CT121" i="72"/>
  <c r="CT129" i="72"/>
  <c r="CT79" i="72"/>
  <c r="CT119" i="72"/>
  <c r="CP60" i="72"/>
  <c r="CP68" i="72"/>
  <c r="CP76" i="72"/>
  <c r="CP84" i="72"/>
  <c r="CP92" i="72"/>
  <c r="CP100" i="72"/>
  <c r="CP108" i="72"/>
  <c r="CP116" i="72"/>
  <c r="CP124" i="72"/>
  <c r="CP132" i="72"/>
  <c r="CP62" i="72"/>
  <c r="CP70" i="72"/>
  <c r="CP78" i="72"/>
  <c r="CP86" i="72"/>
  <c r="CP94" i="72"/>
  <c r="CP102" i="72"/>
  <c r="CP110" i="72"/>
  <c r="CP118" i="72"/>
  <c r="CP126" i="72"/>
  <c r="CP64" i="72"/>
  <c r="CP72" i="72"/>
  <c r="CP80" i="72"/>
  <c r="CP88" i="72"/>
  <c r="CP96" i="72"/>
  <c r="CP104" i="72"/>
  <c r="CP112" i="72"/>
  <c r="CP120" i="72"/>
  <c r="CP128" i="72"/>
  <c r="CP66" i="72"/>
  <c r="CP74" i="72"/>
  <c r="CP82" i="72"/>
  <c r="CP90" i="72"/>
  <c r="CP98" i="72"/>
  <c r="CP106" i="72"/>
  <c r="CP114" i="72"/>
  <c r="CP122" i="72"/>
  <c r="CP130" i="72"/>
  <c r="CT60" i="72" l="1"/>
  <c r="CT134" i="72"/>
  <c r="CT136" i="72"/>
  <c r="CT138" i="72"/>
  <c r="CT140" i="72"/>
  <c r="CT142" i="72"/>
  <c r="CT144" i="72"/>
  <c r="CT146" i="72"/>
  <c r="CT148" i="72"/>
  <c r="CX137" i="72"/>
  <c r="CX147" i="72"/>
  <c r="CX141" i="72"/>
  <c r="CX139" i="72"/>
  <c r="CX145" i="72"/>
  <c r="CX135" i="72"/>
  <c r="CX133" i="72"/>
  <c r="CX143" i="72"/>
  <c r="CX59" i="72"/>
  <c r="CT62" i="72"/>
  <c r="CT70" i="72"/>
  <c r="CT78" i="72"/>
  <c r="CT86" i="72"/>
  <c r="CT94" i="72"/>
  <c r="CT102" i="72"/>
  <c r="CT110" i="72"/>
  <c r="CT118" i="72"/>
  <c r="CT126" i="72"/>
  <c r="CT98" i="72"/>
  <c r="CT122" i="72"/>
  <c r="CT64" i="72"/>
  <c r="CT72" i="72"/>
  <c r="CT80" i="72"/>
  <c r="CT88" i="72"/>
  <c r="CT96" i="72"/>
  <c r="CT104" i="72"/>
  <c r="CT112" i="72"/>
  <c r="CT120" i="72"/>
  <c r="CT128" i="72"/>
  <c r="CT90" i="72"/>
  <c r="CT114" i="72"/>
  <c r="CT130" i="72"/>
  <c r="CT66" i="72"/>
  <c r="CT74" i="72"/>
  <c r="CT82" i="72"/>
  <c r="CT106" i="72"/>
  <c r="CT68" i="72"/>
  <c r="CT76" i="72"/>
  <c r="CT84" i="72"/>
  <c r="CT92" i="72"/>
  <c r="CT100" i="72"/>
  <c r="CT108" i="72"/>
  <c r="CT116" i="72"/>
  <c r="CT124" i="72"/>
  <c r="CT132" i="72"/>
  <c r="CU29" i="72"/>
  <c r="CX63" i="72"/>
  <c r="CX71" i="72"/>
  <c r="CX79" i="72"/>
  <c r="CX87" i="72"/>
  <c r="CX95" i="72"/>
  <c r="CX103" i="72"/>
  <c r="CX111" i="72"/>
  <c r="CX119" i="72"/>
  <c r="CX127" i="72"/>
  <c r="CX75" i="72"/>
  <c r="CX91" i="72"/>
  <c r="CX107" i="72"/>
  <c r="CX123" i="72"/>
  <c r="CX65" i="72"/>
  <c r="CX73" i="72"/>
  <c r="CX81" i="72"/>
  <c r="CX89" i="72"/>
  <c r="CX97" i="72"/>
  <c r="CX105" i="72"/>
  <c r="CX113" i="72"/>
  <c r="CX121" i="72"/>
  <c r="CX129" i="72"/>
  <c r="CX83" i="72"/>
  <c r="CX99" i="72"/>
  <c r="CX115" i="72"/>
  <c r="CX131" i="72"/>
  <c r="CX67" i="72"/>
  <c r="CX61" i="72"/>
  <c r="CX69" i="72"/>
  <c r="CX77" i="72"/>
  <c r="CX85" i="72"/>
  <c r="CX93" i="72"/>
  <c r="CX101" i="72"/>
  <c r="CX109" i="72"/>
  <c r="CX117" i="72"/>
  <c r="CX125" i="72"/>
  <c r="H291" i="48"/>
  <c r="F236" i="65"/>
  <c r="I236" i="65" s="1"/>
  <c r="CX146" i="72" l="1"/>
  <c r="CX148" i="72"/>
  <c r="CX134" i="72"/>
  <c r="CX136" i="72"/>
  <c r="CX142" i="72"/>
  <c r="CX144" i="72"/>
  <c r="CX138" i="72"/>
  <c r="CX140" i="72"/>
  <c r="CX60" i="72"/>
  <c r="I239" i="65"/>
  <c r="K236" i="65"/>
  <c r="K239" i="65" s="1"/>
  <c r="CX62" i="72"/>
  <c r="CX70" i="72"/>
  <c r="CX78" i="72"/>
  <c r="CX86" i="72"/>
  <c r="CX94" i="72"/>
  <c r="CX102" i="72"/>
  <c r="CX110" i="72"/>
  <c r="CX118" i="72"/>
  <c r="CX126" i="72"/>
  <c r="CX90" i="72"/>
  <c r="CX106" i="72"/>
  <c r="CX122" i="72"/>
  <c r="CX64" i="72"/>
  <c r="CX72" i="72"/>
  <c r="CX80" i="72"/>
  <c r="CX88" i="72"/>
  <c r="CX96" i="72"/>
  <c r="CX104" i="72"/>
  <c r="CX112" i="72"/>
  <c r="CX120" i="72"/>
  <c r="CX128" i="72"/>
  <c r="CX98" i="72"/>
  <c r="CX130" i="72"/>
  <c r="CX66" i="72"/>
  <c r="CX74" i="72"/>
  <c r="CX82" i="72"/>
  <c r="CX114" i="72"/>
  <c r="CX68" i="72"/>
  <c r="CX76" i="72"/>
  <c r="CX84" i="72"/>
  <c r="CX92" i="72"/>
  <c r="CX100" i="72"/>
  <c r="CX108" i="72"/>
  <c r="CX116" i="72"/>
  <c r="CX124" i="72"/>
  <c r="CX132" i="72"/>
</calcChain>
</file>

<file path=xl/sharedStrings.xml><?xml version="1.0" encoding="utf-8"?>
<sst xmlns="http://schemas.openxmlformats.org/spreadsheetml/2006/main" count="2493" uniqueCount="1021">
  <si>
    <t>Q</t>
  </si>
  <si>
    <t>To accomodate varying in-service dates for different phases of these projects, it may be necessary to perform the above calculations by vintage.</t>
  </si>
  <si>
    <t>Lives shown above are illustrative only</t>
  </si>
  <si>
    <t>Federal Income</t>
  </si>
  <si>
    <t>Maryland Income</t>
  </si>
  <si>
    <t>Pennsylvania Income</t>
  </si>
  <si>
    <t>PSC Assessment</t>
  </si>
  <si>
    <t>Expense Items</t>
  </si>
  <si>
    <t>A&amp;G</t>
  </si>
  <si>
    <t>Less line 17g</t>
  </si>
  <si>
    <t>Attachment A Line #s, Descriptions, Notes, Form 1 Page #s and Instructions</t>
  </si>
  <si>
    <t>Environmental Surcharge</t>
  </si>
  <si>
    <t>Pole License</t>
  </si>
  <si>
    <t>Montgomery County Fuel Energy</t>
  </si>
  <si>
    <t>Universal Service Fund</t>
  </si>
  <si>
    <t>Total as reported on p. 263(i)</t>
  </si>
  <si>
    <t>Account 454 - Rent from Electric Property</t>
  </si>
  <si>
    <t>Total Rent Revenues</t>
  </si>
  <si>
    <t>Revenue Adjustment to determine Revenue Credit</t>
  </si>
  <si>
    <t>Transmission Related Account 242 Reserves (exclude current year environmental site related reserves)</t>
  </si>
  <si>
    <t xml:space="preserve">Net Plant Carrying Charge </t>
  </si>
  <si>
    <t>Net Plant Carrying Charge without Depreciation</t>
  </si>
  <si>
    <t>Net Plant Carrying Charge without Depreciation, Return, nor Income Taxes</t>
  </si>
  <si>
    <t>W Enhancement</t>
  </si>
  <si>
    <t>W/O Enhancement</t>
  </si>
  <si>
    <t>Net Plant Carrying Charge</t>
  </si>
  <si>
    <t>Net Plant Carrying Charge Calculation per 100 basis point increase in ROE</t>
  </si>
  <si>
    <t>Net Plant Carrying Charge per 100 basis point increase in ROE without Depreciation</t>
  </si>
  <si>
    <t xml:space="preserve">Net Plant Carrying Charge per 100 basis point increase in ROE </t>
  </si>
  <si>
    <t xml:space="preserve">Net Revenue Requirement per 100 basis point increase in ROE </t>
  </si>
  <si>
    <t xml:space="preserve">Return and Taxes per 100 basis point increase in ROE </t>
  </si>
  <si>
    <t>Appendix A % plus 100 Basis Pts</t>
  </si>
  <si>
    <t>Attachment 4 - Calculation of 100 Basis Point Increase in ROE</t>
  </si>
  <si>
    <t>Return and Taxes with 100 Basis Point increase in ROE</t>
  </si>
  <si>
    <t>100 Basis Point increase in ROE and Income Taxes</t>
  </si>
  <si>
    <t>Respondent is both Electric and Gas Utility. Plant allocated using the Modified</t>
  </si>
  <si>
    <t>See Line 7</t>
  </si>
  <si>
    <t>See Form 1</t>
  </si>
  <si>
    <t>EPRI Dues payed by Holding company (Constellation Energy)</t>
  </si>
  <si>
    <t>None</t>
  </si>
  <si>
    <t>Maryland</t>
  </si>
  <si>
    <t>Maryland Only</t>
  </si>
  <si>
    <t>BG&amp;E Zone</t>
  </si>
  <si>
    <t>5. Since deferred income taxes arise when items are included in taxable income in different periods than they are included in rates - therefore, if the item giving rise to the ADIT is not included in the formula, the associated ADIT amount shall be excluded</t>
  </si>
  <si>
    <t>Specific identification based on plant records</t>
  </si>
  <si>
    <t>PJM Zonal Peak Load per 34.1 of the PJM OATT</t>
  </si>
  <si>
    <t>Shaded cells are input cells</t>
  </si>
  <si>
    <t>Attachment 1 - Accumulated Deferred Income Taxes (ADIT) Worksheet</t>
  </si>
  <si>
    <t>Attachment 2 - Taxes Other Than Income Worksheet</t>
  </si>
  <si>
    <t>Attachment 3 - Revenue Credit Workpaper</t>
  </si>
  <si>
    <t>Attachment 5 - Cost Support</t>
  </si>
  <si>
    <t>Attachment 7 - Transmission Enhancement Charge Worksheet</t>
  </si>
  <si>
    <t>Attachment 6 - Estimate and True-up Worksheet</t>
  </si>
  <si>
    <t>Attachment 8 - Company Exhibit - Securitization Workpaper</t>
  </si>
  <si>
    <t>Attachment 6</t>
  </si>
  <si>
    <t>Attachment 1</t>
  </si>
  <si>
    <t>Attachment 8</t>
  </si>
  <si>
    <t>Attachment 5</t>
  </si>
  <si>
    <t>Attachment 3</t>
  </si>
  <si>
    <t>Attachment 4</t>
  </si>
  <si>
    <t>Less FASB 109 Above if not separately removed</t>
  </si>
  <si>
    <t>Less FASB 106 Above if not separately removed</t>
  </si>
  <si>
    <t>The FCR resulting from Formula in a given year is used for that year only.</t>
  </si>
  <si>
    <t>(Sum Line 1)</t>
  </si>
  <si>
    <t xml:space="preserve">Regulatory Commission Expenses directly related to transmission service, RTO filings, or transmission siting itemized in Form 1 at 351.h. </t>
  </si>
  <si>
    <t>All EPRI Annual Membership Dues</t>
  </si>
  <si>
    <t>(Sum Lines 2-10)</t>
  </si>
  <si>
    <t>ROE Incentive (Basis Points)</t>
  </si>
  <si>
    <t xml:space="preserve">Subtotal - p277 </t>
  </si>
  <si>
    <t xml:space="preserve">Subtotal - p275  </t>
  </si>
  <si>
    <t>Baltimore Gas and Electric Company</t>
  </si>
  <si>
    <t>Respondent is both Electric and Gas Utility.  Common allocated to gas and electric using the Modified version of the Massachusetts Formula approved by the MD PSC.</t>
  </si>
  <si>
    <t>p356.1</t>
  </si>
  <si>
    <t>Fuel Energy</t>
  </si>
  <si>
    <t>Respondent is both Electric and Gas Utility.  Undistributed stores expense allocated using the net plant ratio.</t>
  </si>
  <si>
    <t>p117.62c through 67c</t>
  </si>
  <si>
    <t>p112.18d through 21d</t>
  </si>
  <si>
    <t>p111.81.c</t>
  </si>
  <si>
    <t>p113.61c</t>
  </si>
  <si>
    <t>Line 5</t>
  </si>
  <si>
    <t>p112.16c</t>
  </si>
  <si>
    <t>p112.12c</t>
  </si>
  <si>
    <t>p112.3c</t>
  </si>
  <si>
    <t xml:space="preserve">  Total</t>
  </si>
  <si>
    <t>Costs associated with revenues in line 17a that are included in FERC accounts recovered through the formula times the allocator used to functionalize the amounts in the FERC account to the transmission service at issue.</t>
  </si>
  <si>
    <t>Electric / non-electric cost support above</t>
  </si>
  <si>
    <t xml:space="preserve">p266.17f </t>
  </si>
  <si>
    <t xml:space="preserve">Federal FICA </t>
  </si>
  <si>
    <t>Transmission O&amp;M Reserves</t>
  </si>
  <si>
    <t>Enter Negative</t>
  </si>
  <si>
    <t xml:space="preserve">Prepayments </t>
  </si>
  <si>
    <t xml:space="preserve">      Less ADIT associated with Gain or Loss</t>
  </si>
  <si>
    <t>Facility Credits under Section 30.9 of the PJM OATT paid by Utility</t>
  </si>
  <si>
    <t xml:space="preserve">Attachment 5 </t>
  </si>
  <si>
    <t xml:space="preserve">Amount </t>
  </si>
  <si>
    <t>Difference</t>
  </si>
  <si>
    <t xml:space="preserve">Other taxes that are incurred through ownership of plant including transmission plant will be allocated based on the Gross Plant </t>
  </si>
  <si>
    <t>Allocator.  If the taxes are 100% recovered at retail they may not be included</t>
  </si>
  <si>
    <t>Other taxes that are incurred through ownership of only general or intangible plant will be allocated based on the Wages and Salary</t>
  </si>
  <si>
    <t>Other taxes that are assessed based on labor, will be allocated based on the Wages and Salary Allocator</t>
  </si>
  <si>
    <t>Gross Revenue Credits</t>
  </si>
  <si>
    <t>Total Revenue Credits</t>
  </si>
  <si>
    <t>17a</t>
  </si>
  <si>
    <t>17b</t>
  </si>
  <si>
    <t>Costs associated with revenues in line 17a</t>
  </si>
  <si>
    <t>17c</t>
  </si>
  <si>
    <t>17d</t>
  </si>
  <si>
    <t>17e</t>
  </si>
  <si>
    <t>17g</t>
  </si>
  <si>
    <t>Allocated to</t>
  </si>
  <si>
    <t>BG&amp;E</t>
  </si>
  <si>
    <t>Electric</t>
  </si>
  <si>
    <t>Gas</t>
  </si>
  <si>
    <t>Explanation of the method</t>
  </si>
  <si>
    <t xml:space="preserve">FERC Form 1.  Specifically, the ratio to distribute common regulated utility expenses to gas </t>
  </si>
  <si>
    <t xml:space="preserve">and electric is based on a modified version of the Massachusetts formula and is influenced by </t>
  </si>
  <si>
    <t>each line of business's share of total utility labor, depreciation, amortization, and taxes.  BGE</t>
  </si>
  <si>
    <t>has consistently used this approach to distribute common costs to the gas and electric lines</t>
  </si>
  <si>
    <t>during this interval.</t>
  </si>
  <si>
    <t>For Reconciliation Only</t>
  </si>
  <si>
    <t>Exclude Construction Work In Progress and leases that are expensed as O&amp;M (rather than amortized).  New Transmission plant included</t>
  </si>
  <si>
    <t xml:space="preserve">which is expected to be placed in service in the current calendar year weighted by number of months it is expected to be in-service.  </t>
  </si>
  <si>
    <t>Point to Point Service revenues for which the load is not included in the divisor received by transmission owner</t>
  </si>
  <si>
    <r>
      <t>Net revenues associated with Network Integration Transmission Service (NITS) for which the load is not included in the divisor (difference between NITS credits from PJM and PJM NITS charges paid by Transmission Owner)</t>
    </r>
    <r>
      <rPr>
        <sz val="10"/>
        <color indexed="10"/>
        <rFont val="Arial"/>
        <family val="2"/>
      </rPr>
      <t xml:space="preserve"> </t>
    </r>
    <r>
      <rPr>
        <sz val="10"/>
        <rFont val="Arial"/>
        <family val="2"/>
      </rPr>
      <t>(Note 4)</t>
    </r>
  </si>
  <si>
    <t>See (Note J) on Appendix A</t>
  </si>
  <si>
    <t>Utility Total Amount</t>
  </si>
  <si>
    <t>Justification</t>
  </si>
  <si>
    <t>for Assignment to Columns A-D</t>
  </si>
  <si>
    <t>17f</t>
  </si>
  <si>
    <t>Line 17f less line 17a</t>
  </si>
  <si>
    <t>Instructions:</t>
  </si>
  <si>
    <t>If unable to determine the investment below 69kV in a substation with investment of 69 kV and higher as well as below 69 kV,</t>
  </si>
  <si>
    <t>Or</t>
  </si>
  <si>
    <t>the following formula will be used:</t>
  </si>
  <si>
    <t>Example</t>
  </si>
  <si>
    <t>Total investment in substation</t>
  </si>
  <si>
    <t>Identifiable investment in Transmission (provide workpapers)</t>
  </si>
  <si>
    <t>Identifiable investment in Distribution (provide workpapers)</t>
  </si>
  <si>
    <t>Amount to be excluded (A x (C / (B + C)))</t>
  </si>
  <si>
    <t>Total Transmission Related Reserves</t>
  </si>
  <si>
    <t>Description of the Prepayments</t>
  </si>
  <si>
    <t>Total Account 454 and 456</t>
  </si>
  <si>
    <t>Amount offset in line 4 above</t>
  </si>
  <si>
    <t>Total Income Taxes</t>
  </si>
  <si>
    <t>Summary</t>
  </si>
  <si>
    <t>Net Property, Plant &amp; Equipment</t>
  </si>
  <si>
    <t>Taxes Other than Income</t>
  </si>
  <si>
    <t>Common Stock</t>
  </si>
  <si>
    <t>(Note P)</t>
  </si>
  <si>
    <t>Revenue Credits</t>
  </si>
  <si>
    <t>C</t>
  </si>
  <si>
    <t>Common Depreciation - Electric Only</t>
  </si>
  <si>
    <t>Gross Plant Allocator</t>
  </si>
  <si>
    <t>Total  Capitalization</t>
  </si>
  <si>
    <t>Total Long Term Debt</t>
  </si>
  <si>
    <t>Total Return ( R )</t>
  </si>
  <si>
    <t>Form No. 1 balance (p.266)</t>
  </si>
  <si>
    <t xml:space="preserve">On November 16, 2007, the Federal Energy Regulatory Commission (FERC) granted Baltimore Gas and Electric (BGE) in Docket No. ER07-576 incentive rate </t>
  </si>
  <si>
    <t xml:space="preserve">treatment for 6 projects designated in the PJM Regional Transmission Expansion Plan (RTEP) as Transmission Owner Initiated (TOI).  Specifically, FERC </t>
  </si>
  <si>
    <t>In filling out this attachment, a full and complete description of each item and justification for the allocation to Columns A-D and each separate ADIT item will be listed, dissimilar items</t>
  </si>
  <si>
    <t>Total Long Term Debt (WCLTD)</t>
  </si>
  <si>
    <t>REVENUE REQUIREMENT</t>
  </si>
  <si>
    <t>I</t>
  </si>
  <si>
    <t>Total Taxes Other than Income</t>
  </si>
  <si>
    <t>J</t>
  </si>
  <si>
    <t>Long Term Interest</t>
  </si>
  <si>
    <t>Long Term Debt</t>
  </si>
  <si>
    <t xml:space="preserve">    Less LTD Interest on Securitization Bonds</t>
  </si>
  <si>
    <t>p323.160b</t>
  </si>
  <si>
    <t>p323.162b</t>
  </si>
  <si>
    <t>Depreciation Expense</t>
  </si>
  <si>
    <t>Accumulated Depreciation (Total Electric Plant)</t>
  </si>
  <si>
    <t>Transmission Depreciation Expense</t>
  </si>
  <si>
    <t>Transmission Wages Expense</t>
  </si>
  <si>
    <t>Total Wages Expense</t>
  </si>
  <si>
    <t>p356</t>
  </si>
  <si>
    <t xml:space="preserve"> </t>
  </si>
  <si>
    <t>E</t>
  </si>
  <si>
    <t>A</t>
  </si>
  <si>
    <t>D</t>
  </si>
  <si>
    <t>G</t>
  </si>
  <si>
    <t>Preferred Stock</t>
  </si>
  <si>
    <t>K</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</si>
  <si>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</si>
  <si>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</si>
  <si>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p354.21.b</t>
  </si>
  <si>
    <t>p354.28b</t>
  </si>
  <si>
    <t>p354.27b</t>
  </si>
  <si>
    <t>p321.112.b</t>
  </si>
  <si>
    <t>p321.96.b</t>
  </si>
  <si>
    <t>p323.185.b</t>
  </si>
  <si>
    <t>p323.189.b</t>
  </si>
  <si>
    <t>p323.191.b</t>
  </si>
  <si>
    <t>p323.189b</t>
  </si>
  <si>
    <t xml:space="preserve">  work paper showing the name of each state and how the blended or composite SIT was developed.  Furthermore, a utility that</t>
  </si>
  <si>
    <t xml:space="preserve">  elected to utilize amortization of tax credits against taxable income, rather than book tax credits to Account No. 255 and reduce </t>
  </si>
  <si>
    <t xml:space="preserve">  rate base, must reduce its income tax expense by the amount of the Amortized Investment Tax Credit (Form 1, 266.8.f)</t>
  </si>
  <si>
    <t>Schedule 1A</t>
  </si>
  <si>
    <t>Other Taxes</t>
  </si>
  <si>
    <t>p207.95g</t>
  </si>
  <si>
    <t>p207.58.g</t>
  </si>
  <si>
    <t>(Notes A &amp; L)</t>
  </si>
  <si>
    <t>p266.h</t>
  </si>
  <si>
    <t>Total Prepayments Allocated to Transmission</t>
  </si>
  <si>
    <t>Total Cash Working Capital Allocated to Transmission</t>
  </si>
  <si>
    <t>Transmission Materials &amp; Supplies</t>
  </si>
  <si>
    <t>General &amp; Common Expenses</t>
  </si>
  <si>
    <t>Directly Assigned A&amp;G</t>
  </si>
  <si>
    <t>Allocated General &amp; Common Expenses</t>
  </si>
  <si>
    <t>A&amp;G Directly Assigned to Transmission</t>
  </si>
  <si>
    <t>Adjustment to Remove Revenue Requirements Associated with Excluded Transmission Facilities</t>
  </si>
  <si>
    <t>Excluded Transmission Facilities</t>
  </si>
  <si>
    <t>Included Transmission Facilities</t>
  </si>
  <si>
    <t>Inclusion Ratio</t>
  </si>
  <si>
    <t>Adjusted Gross Revenue Requirement</t>
  </si>
  <si>
    <t>(Note S)</t>
  </si>
  <si>
    <t xml:space="preserve">All Regulatory Commission Expenses </t>
  </si>
  <si>
    <t>General &amp; Common Expenses Allocated to Transmission</t>
  </si>
  <si>
    <t>Total Materials &amp; Supplies Allocated to Transmission</t>
  </si>
  <si>
    <t>Materials and Supplies</t>
  </si>
  <si>
    <t>Included in cost of debt computation</t>
  </si>
  <si>
    <t>Company Records</t>
  </si>
  <si>
    <t>P</t>
  </si>
  <si>
    <t>Accumulated Depreciation</t>
  </si>
  <si>
    <t>Prepayments</t>
  </si>
  <si>
    <t>Cash Working Capital</t>
  </si>
  <si>
    <t>Allocators</t>
  </si>
  <si>
    <t>Less A&amp;G Wages Expense</t>
  </si>
  <si>
    <t>Common Plant In Service - Electric</t>
  </si>
  <si>
    <t>Transmission Gross Plant</t>
  </si>
  <si>
    <t>Transmission Net Plant</t>
  </si>
  <si>
    <t>Total Accumulated Depreciation</t>
  </si>
  <si>
    <t>Total Plant In Service</t>
  </si>
  <si>
    <t>Wages &amp; Salary Allocation Factor</t>
  </si>
  <si>
    <t>TOTAL Plant In Service</t>
  </si>
  <si>
    <t>Common Plant (Electric Only)</t>
  </si>
  <si>
    <t>Prepaid Pensions</t>
  </si>
  <si>
    <t xml:space="preserve">Included amount associated with proceedings before FERC.  </t>
  </si>
  <si>
    <t>Less extraordinary property losses</t>
  </si>
  <si>
    <t>Plus amotization of extraordinary property losses</t>
  </si>
  <si>
    <t>Extraordinary Property Loss</t>
  </si>
  <si>
    <t>Number of years</t>
  </si>
  <si>
    <t>w/ interest</t>
  </si>
  <si>
    <t xml:space="preserve">     Plus Schedule 12 payments billed to Transmission Owner and booked to Account 565</t>
  </si>
  <si>
    <t>Payments made under Schedule 12 of the PJM OATT that are not directly assessed to load in the zone under Schedule 12 are included in Transmission O&amp;M.</t>
  </si>
  <si>
    <t>Securitization bonds may be included in the capital structure per settlement in ER05-515.</t>
  </si>
  <si>
    <t>As provided for in Section 34.1 of the PJM OATT and the PJM established billing determinants will not be revised or updated in the annual rate reconciliations per settlement in ER05-515.</t>
  </si>
  <si>
    <t>Plus any increased ROE calculated on Attachment 7 other than PJM Sch. 12 projects</t>
  </si>
  <si>
    <t>Attachment 7</t>
  </si>
  <si>
    <t>Schedule 12</t>
  </si>
  <si>
    <t>Account 456 - Other Electric Revenues (Note 1)</t>
  </si>
  <si>
    <t>Net Revenues (17a - 17b)</t>
  </si>
  <si>
    <t>50% Share of Net Revenues (17c/2)</t>
  </si>
  <si>
    <t>Net Revenue Credit (17d + 17e)</t>
  </si>
  <si>
    <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</si>
  <si>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may be weighted average of small projects</t>
  </si>
  <si>
    <t>Rent from Electric Property - Transmission Related (Note 3)</t>
  </si>
  <si>
    <t>PJM Transitional Revenue Neutrality (Note 1)</t>
  </si>
  <si>
    <t>PJM Transitional Market Expansion (Note 1)</t>
  </si>
  <si>
    <t>Professional Services (Note 3)</t>
  </si>
  <si>
    <t>Revenues from Directly Assigned Transmission Facility Charges (Note 2)</t>
  </si>
  <si>
    <t>Rent or Attachment Fees associated with Transmission Facilities (Note 3)</t>
  </si>
  <si>
    <t>Total Electric Administrative &amp; General Cost Support</t>
  </si>
  <si>
    <t>Merger Costs</t>
  </si>
  <si>
    <t>Not Merger Related</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</si>
  <si>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utilize lines 17a - 17g, the utility must track in separate subaccounts the revenues and costs associated with each secondary use (except for the cost of the associated income taxes).</t>
  </si>
  <si>
    <t>Year 2</t>
  </si>
  <si>
    <t>Post results of Step 3 on PJM web site</t>
  </si>
  <si>
    <t>Year 3</t>
  </si>
  <si>
    <t>Reconciliation - TO adds the difference between the Reconciliation in Step 8 and the forecast in Line 5 with interest to the result of Step 7 (this difference is also added to Step 8 in the subsequent year)</t>
  </si>
  <si>
    <t>Post results of Step 9 on PJM web site</t>
  </si>
  <si>
    <t xml:space="preserve">Must run Appendix A with cap adds from row 99 in line 21 &amp; line 20 filled as per row 85 to get this number </t>
  </si>
  <si>
    <t>Rev Req based on Year 1 data without Cap Adds</t>
  </si>
  <si>
    <t>New Transmission Plant Additions for Year 2  (weighted by months in service)</t>
  </si>
  <si>
    <t>New Transmission Plant Additions for Year 3  (weighted by months in service)</t>
  </si>
  <si>
    <t>Revenue Requirement for Year 3</t>
  </si>
  <si>
    <t>Rev Req based on Current Year data with estimated Cap Adds for Year 3 (Step 8)</t>
  </si>
  <si>
    <t>Common Plant Accumulated Depreciation (Electric Only)</t>
  </si>
  <si>
    <t>General &amp; Common Plant Allocated to Transmission</t>
  </si>
  <si>
    <t>Adjustment To Rate Base</t>
  </si>
  <si>
    <t>Plant In Service</t>
  </si>
  <si>
    <t>Net Plant Allocation Factor</t>
  </si>
  <si>
    <t>Intangible Amortization</t>
  </si>
  <si>
    <t>Undistributed Stores Exp</t>
  </si>
  <si>
    <t>Common Amortization - Electric Only</t>
  </si>
  <si>
    <t>General Depreciation Allocated to Transmission</t>
  </si>
  <si>
    <t>Common Depreciation - Electric Only Allocated to Transmission</t>
  </si>
  <si>
    <t>Return / Capitalization Calculations</t>
  </si>
  <si>
    <t xml:space="preserve">    Less Account 216.1</t>
  </si>
  <si>
    <t xml:space="preserve">    Less Preferred Stock</t>
  </si>
  <si>
    <t xml:space="preserve">    Plus Securitization Adjustment</t>
  </si>
  <si>
    <t>Capitalization</t>
  </si>
  <si>
    <t>ITC Adjustment</t>
  </si>
  <si>
    <t>ITC Adjustment Allocated to Transmission</t>
  </si>
  <si>
    <t>SIT=State Income Tax Rate or Composite</t>
  </si>
  <si>
    <t>FIT=Federal Income Tax Rate</t>
  </si>
  <si>
    <t>Investment Return = Rate Base * Rate of Return</t>
  </si>
  <si>
    <t>Income Tax Rates</t>
  </si>
  <si>
    <t>Preferred Dividends</t>
  </si>
  <si>
    <t>p118.29c</t>
  </si>
  <si>
    <t>p227.6c &amp; 15.c</t>
  </si>
  <si>
    <t>Depreciation &amp; Amortization</t>
  </si>
  <si>
    <t>Rate ($/MW-Year)</t>
  </si>
  <si>
    <t>1 CP Peak</t>
  </si>
  <si>
    <t>General &amp; Common Allocated to Transmission</t>
  </si>
  <si>
    <t>Accumulated Deferred Income Taxes Allocated To Transmission</t>
  </si>
  <si>
    <t>Depreciation &amp; Amortization Expense</t>
  </si>
  <si>
    <t>Total Transmission Depreciation &amp; Amortization</t>
  </si>
  <si>
    <t>L</t>
  </si>
  <si>
    <t>M</t>
  </si>
  <si>
    <t>Transmission O&amp;M</t>
  </si>
  <si>
    <t xml:space="preserve">     Plus Transmission Lease Payments</t>
  </si>
  <si>
    <t>Wages &amp; Salary Allocator</t>
  </si>
  <si>
    <t>Common Plant O&amp;M</t>
  </si>
  <si>
    <t>Total Transmission O&amp;M</t>
  </si>
  <si>
    <t>Total A&amp;G</t>
  </si>
  <si>
    <t>General &amp; Intangible</t>
  </si>
  <si>
    <t>Transmission Plant In Service</t>
  </si>
  <si>
    <t>NOTES:</t>
  </si>
  <si>
    <t>Total General &amp; Common</t>
  </si>
  <si>
    <t>TOTAL Accumulated Depreciation</t>
  </si>
  <si>
    <t>TOTAL Net Property, Plant &amp; Equipment</t>
  </si>
  <si>
    <t>Adjustment to Rate Base</t>
  </si>
  <si>
    <t>Plant Calculations</t>
  </si>
  <si>
    <t>Net Plant</t>
  </si>
  <si>
    <t>Net Plant Allocator</t>
  </si>
  <si>
    <t>Rate Base</t>
  </si>
  <si>
    <t xml:space="preserve">Income Tax Component = </t>
  </si>
  <si>
    <t>Accumulated Common Amortization - Electric</t>
  </si>
  <si>
    <t>p352-353</t>
  </si>
  <si>
    <t>Gas-related &amp; accordingly excluded</t>
  </si>
  <si>
    <t xml:space="preserve"> enter positive</t>
  </si>
  <si>
    <t xml:space="preserve">     CIT=(T/1-T) * Investment Return * (1-(WCLTD/R)) =</t>
  </si>
  <si>
    <t>Plant Allocation Factors</t>
  </si>
  <si>
    <t>Wage &amp; Salary Allocation Factor</t>
  </si>
  <si>
    <t>p227.8c</t>
  </si>
  <si>
    <t>1/8th Rule</t>
  </si>
  <si>
    <t>TOTAL Adjustment to Rate Base</t>
  </si>
  <si>
    <t>General Depreciation</t>
  </si>
  <si>
    <t>(Note T)</t>
  </si>
  <si>
    <t>Total</t>
  </si>
  <si>
    <t>B</t>
  </si>
  <si>
    <t>Proprietary Capital</t>
  </si>
  <si>
    <t>Operation &amp; Maintenance Expense</t>
  </si>
  <si>
    <t>(Note A)</t>
  </si>
  <si>
    <t>(Note C)</t>
  </si>
  <si>
    <t>(Note L)</t>
  </si>
  <si>
    <t>p323.156b</t>
  </si>
  <si>
    <t>Amortized Investment Tax Credit</t>
  </si>
  <si>
    <t>Prepayments (Account 165)</t>
  </si>
  <si>
    <t>Total Transmission Allocated</t>
  </si>
  <si>
    <t>Transmission Accumulated Depreciation</t>
  </si>
  <si>
    <t>Electric Plant in Service</t>
  </si>
  <si>
    <t>Investment Return</t>
  </si>
  <si>
    <t>Income Taxes</t>
  </si>
  <si>
    <t>Gross Revenue Requirement</t>
  </si>
  <si>
    <t xml:space="preserve">    Less EPRI Dues</t>
  </si>
  <si>
    <t>Subtotal - Transmission Related</t>
  </si>
  <si>
    <t>T/(1-T)</t>
  </si>
  <si>
    <t>T/ (1-T)</t>
  </si>
  <si>
    <t>p</t>
  </si>
  <si>
    <t>(percent of federal income tax deductible for state purposes)</t>
  </si>
  <si>
    <t>Notes</t>
  </si>
  <si>
    <t>Accumulated Intangible Amortization</t>
  </si>
  <si>
    <t>Accumulated Common Plant Depreciation - Electric</t>
  </si>
  <si>
    <t>Allocator</t>
  </si>
  <si>
    <t>p214</t>
  </si>
  <si>
    <t>p110.46d</t>
  </si>
  <si>
    <t>x 1/8</t>
  </si>
  <si>
    <t>enter negative</t>
  </si>
  <si>
    <t>Fixed</t>
  </si>
  <si>
    <t>(Note Q)</t>
  </si>
  <si>
    <t>T</t>
  </si>
  <si>
    <t>Net Revenue Requirement</t>
  </si>
  <si>
    <t>O&amp;M</t>
  </si>
  <si>
    <t xml:space="preserve">     Less Account 565</t>
  </si>
  <si>
    <t>p200.21c</t>
  </si>
  <si>
    <t>Subtotal</t>
  </si>
  <si>
    <t>Electric portion only</t>
  </si>
  <si>
    <t>Transmission Portion Only</t>
  </si>
  <si>
    <t>(Notes A &amp; B)</t>
  </si>
  <si>
    <t>Accumulated Investment Tax Credit Account No. 255</t>
  </si>
  <si>
    <t xml:space="preserve">    Less Property Insurance Account 924</t>
  </si>
  <si>
    <t xml:space="preserve">    Less Regulatory Commission Exp Account 928</t>
  </si>
  <si>
    <t xml:space="preserve">    Less General Advertising Exp Account 930.1</t>
  </si>
  <si>
    <t>(Note G)</t>
  </si>
  <si>
    <t>Regulatory Commission Exp Account 928</t>
  </si>
  <si>
    <t>General Advertising Exp Account 930.1</t>
  </si>
  <si>
    <t>Property Insurance Account 924</t>
  </si>
  <si>
    <t>(Note I)</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</si>
  <si>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</si>
  <si>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</si>
  <si>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</si>
  <si>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</si>
  <si>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</si>
  <si>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</si>
  <si>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</si>
  <si>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</si>
  <si>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</si>
  <si>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</si>
  <si>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</si>
  <si>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Weighted Cost of Preferred</t>
  </si>
  <si>
    <t>Transmission</t>
  </si>
  <si>
    <t>ADIT-190</t>
  </si>
  <si>
    <t>ADIT- 282</t>
  </si>
  <si>
    <t>ADIT-283</t>
  </si>
  <si>
    <t>Personal property</t>
  </si>
  <si>
    <t>Miscellaneous</t>
  </si>
  <si>
    <t>Unemployment</t>
  </si>
  <si>
    <t>Use &amp; Sales Tax</t>
  </si>
  <si>
    <t>Franchise</t>
  </si>
  <si>
    <t>PURTA</t>
  </si>
  <si>
    <t>Capital Stock Tax</t>
  </si>
  <si>
    <t>Corp License</t>
  </si>
  <si>
    <t>Accumulated Deferred Income Taxes</t>
  </si>
  <si>
    <t xml:space="preserve">Safety related advertising included in Account 930.1  </t>
  </si>
  <si>
    <t xml:space="preserve">Education and outreach expenses relating to transmission, for example siting or billing </t>
  </si>
  <si>
    <t>(Note B)</t>
  </si>
  <si>
    <t xml:space="preserve">Plant </t>
  </si>
  <si>
    <t>Related</t>
  </si>
  <si>
    <t>Labor</t>
  </si>
  <si>
    <t>Gas, Prod</t>
  </si>
  <si>
    <t>Or Other</t>
  </si>
  <si>
    <t>Only</t>
  </si>
  <si>
    <t>Instructions for Account 190:</t>
  </si>
  <si>
    <t>Instructions for Account 283:</t>
  </si>
  <si>
    <t>Instructions for Account 282:</t>
  </si>
  <si>
    <t>2.  ADIT items related only to Transmission are directly assigned to Column B</t>
  </si>
  <si>
    <t>3.  ADIT items related Plant and not in Columns A &amp; B are directly assigned to Column C</t>
  </si>
  <si>
    <t>4.  ADIT items related to labor and not in Columns A &amp; B are directly assigned to Column D</t>
  </si>
  <si>
    <t>Page 1 of 4</t>
  </si>
  <si>
    <t>Page 2 of 4</t>
  </si>
  <si>
    <t>Page 3 of 4</t>
  </si>
  <si>
    <t>Page 4 of 4</t>
  </si>
  <si>
    <t>Subtotal - p234</t>
  </si>
  <si>
    <t>ADIT</t>
  </si>
  <si>
    <t>1.  ADIT items related only to Non-Electric Operations (e.g., Gas, Water, Sewer) or Production are directly assigned to Column A</t>
  </si>
  <si>
    <t>Plant Related</t>
  </si>
  <si>
    <t>Page 263</t>
  </si>
  <si>
    <t>Col (i)</t>
  </si>
  <si>
    <t>Gross Premium (insurance) Tax</t>
  </si>
  <si>
    <t>Labor Related</t>
  </si>
  <si>
    <t>Other Included</t>
  </si>
  <si>
    <t>Total Plant Related</t>
  </si>
  <si>
    <t>Total Labor Related</t>
  </si>
  <si>
    <t>Total Other Included</t>
  </si>
  <si>
    <t>Currently Excluded</t>
  </si>
  <si>
    <t>Allocated</t>
  </si>
  <si>
    <t>Amount</t>
  </si>
  <si>
    <t>ADIT net of FASB 106 and 109</t>
  </si>
  <si>
    <t>Exhibit B</t>
  </si>
  <si>
    <t>Total Included</t>
  </si>
  <si>
    <t xml:space="preserve">      Less Loss on Reacquired Debt </t>
  </si>
  <si>
    <t xml:space="preserve">      Plus Gain on Reacquired Debt</t>
  </si>
  <si>
    <t>enter positive</t>
  </si>
  <si>
    <t>Plant Held for Future Use (Including Land)</t>
  </si>
  <si>
    <t xml:space="preserve">  multiplied by (1/1-T).  A utility must not include tax credits as a reduction to rate base and as an amortization against taxable income.</t>
  </si>
  <si>
    <t>Line #</t>
  </si>
  <si>
    <t>Note</t>
  </si>
  <si>
    <t>Project A</t>
  </si>
  <si>
    <t>Life</t>
  </si>
  <si>
    <t>CIAC</t>
  </si>
  <si>
    <t>Details</t>
  </si>
  <si>
    <t>Invest Yr</t>
  </si>
  <si>
    <t>ROE Incentive</t>
  </si>
  <si>
    <t>No</t>
  </si>
  <si>
    <t>Yes</t>
  </si>
  <si>
    <t>W Incentive</t>
  </si>
  <si>
    <t>FCR if a CIAC</t>
  </si>
  <si>
    <t>FCR if not a CIAC</t>
  </si>
  <si>
    <t>FCR for This Project</t>
  </si>
  <si>
    <t xml:space="preserve">Line B less Line A </t>
  </si>
  <si>
    <t>Investment</t>
  </si>
  <si>
    <t>Annual Depreciation Exp</t>
  </si>
  <si>
    <t xml:space="preserve">For Reconciliation only - remove New Transmission Plant Additions for Current Calendar Year  </t>
  </si>
  <si>
    <t>Excludes prior period adjustments in the first year of the formula's operation and reconciliation for the first year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</si>
  <si>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</si>
  <si>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</si>
  <si>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</si>
  <si>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 xml:space="preserve">Remove all investment below 69 kV or generator step up transformers included in transmission plant in service that </t>
  </si>
  <si>
    <t>are not a result of the RTEP Process</t>
  </si>
  <si>
    <t>(adjusted to include any Reconciliation amount from prior year)</t>
  </si>
  <si>
    <t>FCR W/O Incentive</t>
  </si>
  <si>
    <t>Revenue</t>
  </si>
  <si>
    <t>Beginning</t>
  </si>
  <si>
    <t>Depreciation</t>
  </si>
  <si>
    <t>Ending</t>
  </si>
  <si>
    <t>Project B</t>
  </si>
  <si>
    <t>Project C</t>
  </si>
  <si>
    <t>Project D</t>
  </si>
  <si>
    <t>Project E</t>
  </si>
  <si>
    <t>Project F</t>
  </si>
  <si>
    <t>Project G</t>
  </si>
  <si>
    <t>Project H</t>
  </si>
  <si>
    <t>Project I</t>
  </si>
  <si>
    <t>….</t>
  </si>
  <si>
    <t>…..</t>
  </si>
  <si>
    <t>Incentive Charged</t>
  </si>
  <si>
    <t>Revenue Credit</t>
  </si>
  <si>
    <t>Formula Line</t>
  </si>
  <si>
    <t>Real property (State, Municipal or Local)</t>
  </si>
  <si>
    <t>New Plant Carrying Charge</t>
  </si>
  <si>
    <t>W/O Incentive</t>
  </si>
  <si>
    <t xml:space="preserve">      Less LTD on Securitization Bonds</t>
  </si>
  <si>
    <t>SIT for Year</t>
  </si>
  <si>
    <t>Per State Tax Code</t>
  </si>
  <si>
    <t>Network Credits</t>
  </si>
  <si>
    <t>Outstanding Network Credits</t>
  </si>
  <si>
    <t>Net Outstanding Credits</t>
  </si>
  <si>
    <t>From PJM</t>
  </si>
  <si>
    <t>Interest on Network Credits</t>
  </si>
  <si>
    <t>PJM Data</t>
  </si>
  <si>
    <t>Revenue Credits &amp; Interest on Network Credits</t>
  </si>
  <si>
    <t xml:space="preserve">  (net of accumulated depreciation) towards the construction of Network Transmission Facilities consistent with Paragraph 657 of Order 2003-A. </t>
  </si>
  <si>
    <t xml:space="preserve">Outstanding Network Credits is the balance of Network Facilities Upgrades Credits due Transmission Customers who have made lump-sum payments </t>
  </si>
  <si>
    <t>p = percent of federal income tax deductible for state purposes</t>
  </si>
  <si>
    <t>Network Zonal Service Rate</t>
  </si>
  <si>
    <t>Net Zonal Revenue Requirement</t>
  </si>
  <si>
    <t>Max (p401.29 to 40d)</t>
  </si>
  <si>
    <t>PJM Formula Line #s, Descriptions, Notes, Form 1 Page #s and Instructions</t>
  </si>
  <si>
    <t>Electric Portion</t>
  </si>
  <si>
    <t>EPRI Dues</t>
  </si>
  <si>
    <t>Outstanding Network Credits Worksheet</t>
  </si>
  <si>
    <t>Education and Out Reach Worksheet</t>
  </si>
  <si>
    <t>Excluded Plant Worksheet</t>
  </si>
  <si>
    <t>EPRI Dues Worksheet</t>
  </si>
  <si>
    <t>Electric / Non-electric Worksheet</t>
  </si>
  <si>
    <t>Transmission / Non-transmission Worksheet</t>
  </si>
  <si>
    <t>MultiState Workpaper</t>
  </si>
  <si>
    <t>X</t>
  </si>
  <si>
    <t>PJM Load Worksheet</t>
  </si>
  <si>
    <t>Regulatory Expense Related to Transmission Worksheet</t>
  </si>
  <si>
    <t>(Note H)</t>
  </si>
  <si>
    <t>(Line 11)</t>
  </si>
  <si>
    <t>(Line 12)</t>
  </si>
  <si>
    <t>Form 1 Amount</t>
  </si>
  <si>
    <t>Non-electric  Portion</t>
  </si>
  <si>
    <t>Enter Details</t>
  </si>
  <si>
    <t>Enter</t>
  </si>
  <si>
    <t>Transmission Related</t>
  </si>
  <si>
    <t>Expensed Lease in Form 1 Amount</t>
  </si>
  <si>
    <t>Safety Related</t>
  </si>
  <si>
    <t>Enter State</t>
  </si>
  <si>
    <t>Enter %</t>
  </si>
  <si>
    <t>Enter Calculation</t>
  </si>
  <si>
    <t>State 1</t>
  </si>
  <si>
    <t>State 2</t>
  </si>
  <si>
    <t>State 3</t>
  </si>
  <si>
    <t>State 4</t>
  </si>
  <si>
    <t>State 5</t>
  </si>
  <si>
    <t>Education &amp; Outreach</t>
  </si>
  <si>
    <t>Other</t>
  </si>
  <si>
    <t>Enter $</t>
  </si>
  <si>
    <t>Description of the Facilities</t>
  </si>
  <si>
    <t>Enter  Total $</t>
  </si>
  <si>
    <t>Add more lines if necessary</t>
  </si>
  <si>
    <t>General Description of the Facilities</t>
  </si>
  <si>
    <t>Specific Description of the Facility</t>
  </si>
  <si>
    <t>General Description of the Credits</t>
  </si>
  <si>
    <t>Specific Description of the Credits</t>
  </si>
  <si>
    <t>Description of the Credits</t>
  </si>
  <si>
    <t xml:space="preserve">Description &amp; PJM Documentation </t>
  </si>
  <si>
    <t>Interest on Outstanding Network Credits Worksheet</t>
  </si>
  <si>
    <t>Description of the Interest on the Credits</t>
  </si>
  <si>
    <t>Specific Description of the Interest on the Credits</t>
  </si>
  <si>
    <t>F</t>
  </si>
  <si>
    <t>N</t>
  </si>
  <si>
    <t>Statements BG/BH (Present and Proposed Revenues)</t>
  </si>
  <si>
    <t>Customer</t>
  </si>
  <si>
    <t>Billing Determinants</t>
  </si>
  <si>
    <t>Current Rate</t>
  </si>
  <si>
    <t>Proposed Rate</t>
  </si>
  <si>
    <t>Current Revenues</t>
  </si>
  <si>
    <t>Proposed Revenues</t>
  </si>
  <si>
    <t>Change in Revenues</t>
  </si>
  <si>
    <t xml:space="preserve">Composite Income Taxes                                                                                                       </t>
  </si>
  <si>
    <t>Net Revenue Requirement Less Return and Taxes</t>
  </si>
  <si>
    <t>In Service Month (1-12)</t>
  </si>
  <si>
    <t>Step</t>
  </si>
  <si>
    <t>Month</t>
  </si>
  <si>
    <t>Year</t>
  </si>
  <si>
    <t>Action</t>
  </si>
  <si>
    <t>Exec Summary</t>
  </si>
  <si>
    <t>April</t>
  </si>
  <si>
    <t>May</t>
  </si>
  <si>
    <t>June</t>
  </si>
  <si>
    <t>Weighting</t>
  </si>
  <si>
    <t>One 12th</t>
  </si>
  <si>
    <t>Jan</t>
  </si>
  <si>
    <t>Feb</t>
  </si>
  <si>
    <t>Mar</t>
  </si>
  <si>
    <t>Apr</t>
  </si>
  <si>
    <t>Jun</t>
  </si>
  <si>
    <t>Jul</t>
  </si>
  <si>
    <t>Aug</t>
  </si>
  <si>
    <t>Sep</t>
  </si>
  <si>
    <t>Oct</t>
  </si>
  <si>
    <t>Nov</t>
  </si>
  <si>
    <t>Dec</t>
  </si>
  <si>
    <t>Post On PJM Web Site Rev Req and Formula with Exhibits</t>
  </si>
  <si>
    <t>Interest on Amount of Refunds or Surcharges</t>
  </si>
  <si>
    <t>Yr</t>
  </si>
  <si>
    <t>1/12 of Step 9</t>
  </si>
  <si>
    <t>Interest 35.19a for</t>
  </si>
  <si>
    <t>Interest</t>
  </si>
  <si>
    <t>Refunds Owed</t>
  </si>
  <si>
    <t>March Current Yr</t>
  </si>
  <si>
    <t>Months</t>
  </si>
  <si>
    <t>Balance</t>
  </si>
  <si>
    <t>Amort</t>
  </si>
  <si>
    <t>Total Transmission Plant In Service</t>
  </si>
  <si>
    <t>New Transmission Plant Additions for Current Calendar Year  (weighted by months in service)</t>
  </si>
  <si>
    <t xml:space="preserve">    Less Accumulated Depreciation Associated with Facilities with Outstanding Network Credits</t>
  </si>
  <si>
    <t>Safety Related Advertising Worksheet</t>
  </si>
  <si>
    <t>Non-transmission Related</t>
  </si>
  <si>
    <t>CWIP In Form 1 Amount</t>
  </si>
  <si>
    <t>Non-safety Related</t>
  </si>
  <si>
    <t>Draft - Work in Progress</t>
  </si>
  <si>
    <t>Exhibit E - Cap Add Worksheet</t>
  </si>
  <si>
    <t>Cost Support Matrix                                                                                                                                                                          PJM Formula Line #s, Descriptions, Notes, Form 1 Page #s and Instructions</t>
  </si>
  <si>
    <t>Electric / Non-electric Cost Support</t>
  </si>
  <si>
    <t>CWIP &amp; Expensed Lease Cost Support</t>
  </si>
  <si>
    <t>Transmission / Non-transmission Cost Support</t>
  </si>
  <si>
    <t>EPRI Dues Cost Support</t>
  </si>
  <si>
    <t>Regulatory Expense Related to Transmission Cost Support</t>
  </si>
  <si>
    <t>Safety Related Advertising Cost Support</t>
  </si>
  <si>
    <t>Education and Out Reach Cost Support</t>
  </si>
  <si>
    <t>PJM Load Cost Support</t>
  </si>
  <si>
    <t>Excluded Plant Cost Support</t>
  </si>
  <si>
    <t>Outstanding Network Credits Cost Support</t>
  </si>
  <si>
    <t>MultiState Cost Support</t>
  </si>
  <si>
    <t>Interest on Outstanding Network Credits Cost Support</t>
  </si>
  <si>
    <t xml:space="preserve">  Rate Formula Template, since they are recovered elsewhere.</t>
  </si>
  <si>
    <t>CWIP &amp; Expensed Lease Worksheet</t>
  </si>
  <si>
    <t>Composite Income Taxes                                                                                                                                                                          (Note L)</t>
  </si>
  <si>
    <t>Return Calculation</t>
  </si>
  <si>
    <t>O</t>
  </si>
  <si>
    <t>The FCR resulting from Formula in a given year is used for that year only</t>
  </si>
  <si>
    <t>Therefore actual revenues collected in a year do not change based on cost data for subsequent years</t>
  </si>
  <si>
    <t>Est. In Service Date</t>
  </si>
  <si>
    <t>Actual In Service Date</t>
  </si>
  <si>
    <t>Interest 35.19a for March Current Yr</t>
  </si>
  <si>
    <t>TO adds weighted Cap Adds to plant in service in Formula</t>
  </si>
  <si>
    <t>with amounts exceeding $100,000 will be listed separately.</t>
  </si>
  <si>
    <t>Attachment 1- Accumulated Deferred Income Taxes (ADIT) Worksheet</t>
  </si>
  <si>
    <t>ADITC-255</t>
  </si>
  <si>
    <t>Item</t>
  </si>
  <si>
    <t>Amortization</t>
  </si>
  <si>
    <t>Rate Base Treatment</t>
  </si>
  <si>
    <t>Balance to line 41 of Appendix A</t>
  </si>
  <si>
    <t>Total Form No. 1 (p xxx.z)</t>
  </si>
  <si>
    <t>Difference  /1</t>
  </si>
  <si>
    <t>/1 Difference must be zero</t>
  </si>
  <si>
    <t>Criteria for Allocation:</t>
  </si>
  <si>
    <t>FN1 #</t>
  </si>
  <si>
    <t>Transmission Related Account 242 Reserves</t>
  </si>
  <si>
    <t>Allocation</t>
  </si>
  <si>
    <t>Directly Assignable to Transmission</t>
  </si>
  <si>
    <t>Labor Related, General plant related or Common Plant related</t>
  </si>
  <si>
    <t>Attachment 5a - Allocations of Costs to Affiliates</t>
  </si>
  <si>
    <t>The true-up in Step 8</t>
  </si>
  <si>
    <t>The forecast in Prior Year</t>
  </si>
  <si>
    <t>Result of Formula for true-up</t>
  </si>
  <si>
    <t>Total with interest</t>
  </si>
  <si>
    <t>ATTACHMENT H-2A</t>
  </si>
  <si>
    <t>For the true-up, new transmission plant which was actually placed in service weighted by the number of months it was actually in service</t>
  </si>
  <si>
    <t>Revenues included in lines 1-11 which are subject to 50/50 sharing</t>
  </si>
  <si>
    <t xml:space="preserve"> 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 </t>
  </si>
  <si>
    <t>TO estimates all transmission Cap Adds for Year 2 weighted based on Months expected to be in service in Year 2 (e.g, 2005)</t>
  </si>
  <si>
    <t>Results of Step 3 go into effect for the Rate Year 1 (e.g., June 1, 2005 - May 31, 2006)</t>
  </si>
  <si>
    <t>TO populates the formula with Year 2 data from FERC Form 1 for Year 2 (e.g, 2005)</t>
  </si>
  <si>
    <t>TO estimates Cap Adds during Year 3 weighted based on Months expected to be in service in Year 3 (e.g., 2006)</t>
  </si>
  <si>
    <t>Reconciliation - TO calculates Reconciliation by removing from Year 2 data - the total Cap Adds placed in service in Year 2 and adding weighted average in Year 2 actual Cap Adds in Reconciliation</t>
  </si>
  <si>
    <t>Results of Step 9 go into effect for Rate Year 2 (e.g., June 1, 2006 - May 31, 2007)</t>
  </si>
  <si>
    <t>TO populates the formula with Year 1 data from FERC Form 1 for Year 1 (e.g., 2004)</t>
  </si>
  <si>
    <t>Must run Appendix A to get this number (without any cap adds in line 21 of Appendix A)</t>
  </si>
  <si>
    <t>Remove all Cap Adds placed in service in year 2</t>
  </si>
  <si>
    <t>Add weighted Cap Adds actually placed in service in Year 2</t>
  </si>
  <si>
    <t xml:space="preserve">For Reconciliation only - remove actual New Transmission Plant Additions for Year 2  </t>
  </si>
  <si>
    <t>(Year 2 data with total of Year 2 Cap Adds removed and monthly weighted average of Year 2 actual Cap Adds added in)</t>
  </si>
  <si>
    <t>The difference between the true-up in Step 8 and the forecast in Prior Year with interest</t>
  </si>
  <si>
    <t>True-up amount</t>
  </si>
  <si>
    <t>Amount of transmission plant excluded from rates, includes investment in generation step-up transformers to the extent included in Plant in Service.</t>
  </si>
  <si>
    <t>Calculation of the above Securitization Adjustments</t>
  </si>
  <si>
    <t xml:space="preserve">Taxes Other than Income                                                    </t>
  </si>
  <si>
    <t>Wages &amp; Salary Allocator /1</t>
  </si>
  <si>
    <t>Must run Appendix A to get this number (with prospective weighted cap adds in line 21)</t>
  </si>
  <si>
    <t>Must run Appendix A to get this number (without any cap adds in line 21)</t>
  </si>
  <si>
    <t>Excluded because the underlying account(s) are not included in model</t>
  </si>
  <si>
    <t>Formula Rate</t>
  </si>
  <si>
    <t>FERC Form 1  Page # or Instruction</t>
  </si>
  <si>
    <t>(Yes or No)</t>
  </si>
  <si>
    <t>Included because the pension asset is included in rate base.  Related to accrual recognition of expense for book purposes &amp; deductibility of cash fundings for tax purposes.  The amount included is the electric portion as allocated by the application of the modified version of the Massachusetts formula.</t>
  </si>
  <si>
    <t>Excluded as per page 8 line 16 of Alan Heintz's direct testimony in FERC Case No. ER05-515</t>
  </si>
  <si>
    <t>Current Period Changes in Transmission Related Account 242 Reserves</t>
  </si>
  <si>
    <t>Primarily taxes. BGE is combination utility.</t>
  </si>
  <si>
    <t>p227.6c &amp; 16.c</t>
  </si>
  <si>
    <t>Transmission Amortization Expense</t>
  </si>
  <si>
    <t>In  the event the facilities associated with the directly assigned transmission charge are abandoned:</t>
  </si>
  <si>
    <t xml:space="preserve">The Dedicated Facility Project- Abandonment revenue requirement grid(s) shown above reflect the revenue requirements associated with the abandonment costs regulatory </t>
  </si>
  <si>
    <t xml:space="preserve">asset as it pertains to the directly assigned transmission charge.  The revenue requirement associated with these abandonment costs in any given year is included on </t>
  </si>
  <si>
    <t xml:space="preserve">Revenue Requirement").  In this way BGE's wholesale transmission customers are insulated from any revenue requirement effect associated with abandonment costs </t>
  </si>
  <si>
    <t>related to the directly assigned facility charge, should such abandonment costs ever arise.</t>
  </si>
  <si>
    <t xml:space="preserve">line 152 of Attachment H-2A ("the Gross Revenue Requirement") of BGE's formula rate model.  This same revenue requirement is in turn credited on line 159 of Attachment </t>
  </si>
  <si>
    <t xml:space="preserve">H-2A ("Revenue Credits") such that abandonment costs related to this directly assigned transmission charge has no impact on Attachment H-2A, line 161 ("Net </t>
  </si>
  <si>
    <t>44a</t>
  </si>
  <si>
    <t>(Line 45)</t>
  </si>
  <si>
    <t>(Line 84)</t>
  </si>
  <si>
    <t>(Line 55 - 56)</t>
  </si>
  <si>
    <t>(Line 39 + 58)</t>
  </si>
  <si>
    <t>(Lines 60 - 61 + 62 - 63 + 64 + 65)</t>
  </si>
  <si>
    <t>(Lines 67 + 68) -  Sum (69 to 72)</t>
  </si>
  <si>
    <t>(Line 73 * 74)</t>
  </si>
  <si>
    <t>(Line 76 + 77)</t>
  </si>
  <si>
    <t>(Line 79 + 80)</t>
  </si>
  <si>
    <t>(Line 81 * 82)</t>
  </si>
  <si>
    <t>(Line 66 + 75 + 78 + 83)</t>
  </si>
  <si>
    <t>85a</t>
  </si>
  <si>
    <t>(Line 86 + 87)</t>
  </si>
  <si>
    <t>(Line 88 * 89)</t>
  </si>
  <si>
    <t>(Line 91 + 92)</t>
  </si>
  <si>
    <t>(Line 93 * 94)</t>
  </si>
  <si>
    <t>(Line 85 + 85a + 90 + 95)</t>
  </si>
  <si>
    <t>(Line 97)</t>
  </si>
  <si>
    <t>(Line 99 - 100)</t>
  </si>
  <si>
    <t>(Line 192)</t>
  </si>
  <si>
    <t>(Sum Lines 103 to 105)</t>
  </si>
  <si>
    <t>(Sum Lines 107 to 111)</t>
  </si>
  <si>
    <t>(Line 106)</t>
  </si>
  <si>
    <t>(Sum Lines 112 to 114)</t>
  </si>
  <si>
    <t>(Line 112 / 115)</t>
  </si>
  <si>
    <t>(Line 113 / 115)</t>
  </si>
  <si>
    <t>(Line 114 / 115)</t>
  </si>
  <si>
    <t>(Line 101 / 112)</t>
  </si>
  <si>
    <t>(Line 102 / 113)</t>
  </si>
  <si>
    <t>(Line 116 * 119)</t>
  </si>
  <si>
    <t>(Line 117 * 120)</t>
  </si>
  <si>
    <t>(Line 118 * 121)</t>
  </si>
  <si>
    <t>(Sum Lines 122 to 124)</t>
  </si>
  <si>
    <t>(Line 59 * 125)</t>
  </si>
  <si>
    <t>(Line 131)</t>
  </si>
  <si>
    <t>[Line 129 * (1 + Line 130) * Line 131]</t>
  </si>
  <si>
    <t>[Line 131 * 126 * (1-(122 / 125))]</t>
  </si>
  <si>
    <t>(Line 135 + 136)</t>
  </si>
  <si>
    <t>(Line 58)</t>
  </si>
  <si>
    <t>(Line 59)</t>
  </si>
  <si>
    <t>(Line 96)</t>
  </si>
  <si>
    <t>(Line 98)</t>
  </si>
  <si>
    <t>(Line 126)</t>
  </si>
  <si>
    <t>(Line 137)</t>
  </si>
  <si>
    <t>(Sum Lines 141 to 145)</t>
  </si>
  <si>
    <t>(Line 19)</t>
  </si>
  <si>
    <t>(Line 147 - 148)</t>
  </si>
  <si>
    <t>(Line 149 / 147)</t>
  </si>
  <si>
    <t>(Line 146)</t>
  </si>
  <si>
    <t>(Line 150 * 151)</t>
  </si>
  <si>
    <t>(Line 152 - 153 + 154)</t>
  </si>
  <si>
    <t>(Line 155)</t>
  </si>
  <si>
    <t>(Line 156 / 157)</t>
  </si>
  <si>
    <t>(Line 156 - 85) / 157</t>
  </si>
  <si>
    <t>(Line 156 - 85 - 126 - 137) / 157</t>
  </si>
  <si>
    <t>(Line 155 - 144 - 145)</t>
  </si>
  <si>
    <t>(Line 161 + 162)</t>
  </si>
  <si>
    <t>(Line 163 / 164)</t>
  </si>
  <si>
    <t>(Line 162 - 85) / 164</t>
  </si>
  <si>
    <t>(Line 167 + 168 + 169+ 170)</t>
  </si>
  <si>
    <t>(Line 171 / 172)</t>
  </si>
  <si>
    <t>(Line 173)</t>
  </si>
  <si>
    <t>If they are booked to account 565, they are included in on line 64.</t>
  </si>
  <si>
    <t>Interest on the Network Credits as booked each year is added to the revenue requirement to make the Transmisison Owner whole on Line 154.</t>
  </si>
  <si>
    <t>Note ADIT associated with Gain or Loss on Reacquired Debt is included in Column A here and included in Cost of Debt on Appendix A, Line 110</t>
  </si>
  <si>
    <t>Amortization to line 132 of Appendix A</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</si>
  <si>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included in the peak on line 172 of Appendix A.</t>
  </si>
  <si>
    <t>(Line 126 + Line 137)</t>
  </si>
  <si>
    <t>(Line 105 - 99)</t>
  </si>
  <si>
    <t>Abandonment Transmission Projects</t>
  </si>
  <si>
    <t>Unamortized Abandoned Transmission Projects</t>
  </si>
  <si>
    <t>(Line 43 + 44 + 44a + 46 + 51 + 54 - 57)</t>
  </si>
  <si>
    <t>(Note R)</t>
  </si>
  <si>
    <t>Net Transmission Plant and Abandoned Plant</t>
  </si>
  <si>
    <t>(Line 19 - 30 + 44a)</t>
  </si>
  <si>
    <t>R</t>
  </si>
  <si>
    <t>Dedicated Facility Project - Abandonment Costs</t>
  </si>
  <si>
    <t>The revenue requirement associated with this project in any given year is included on line 146 of Attachment H-2A ("the Gross Revenue Requirement") of BGE's formula rate model.</t>
  </si>
  <si>
    <t xml:space="preserve">The Dedicated Facility Project revenue requirement grid(s) shown above reflect the revenue requirements associated with a directly assigned transmission charge.   </t>
  </si>
  <si>
    <t xml:space="preserve">This same revenue requirement is in turn credited on line 153 of Attachment H-2A ("Revenue Credits") such that this directly assigned transmission charge has no impact on Attachment H-2A, line 155 ("Net Revenue Requirement").   </t>
  </si>
  <si>
    <t>In this way BGE's wholesale transmission customers are insulated from any revenue requirement effect from the Dedicated Facility Project.</t>
  </si>
  <si>
    <t>Non-Incentive Return and Income Taxes</t>
  </si>
  <si>
    <t>Model Reference</t>
  </si>
  <si>
    <t>Description</t>
  </si>
  <si>
    <t>see Att. 5, Abandoned Plant Carrying Charge</t>
  </si>
  <si>
    <t>(Appendix A line 144+ line 145)</t>
  </si>
  <si>
    <t>(Appendix A line 59)</t>
  </si>
  <si>
    <t>a</t>
  </si>
  <si>
    <t>b</t>
  </si>
  <si>
    <t>(line a / line b)</t>
  </si>
  <si>
    <t xml:space="preserve">Revenue requirements associated with abandoned plant will be billed to the zones that would have borne cost responsibility if the underlying assets had been placed in service, in </t>
  </si>
  <si>
    <t>accordance with existing PJM cost assignment policies.</t>
  </si>
  <si>
    <t>Years remaining in Amortization Period</t>
  </si>
  <si>
    <t>c</t>
  </si>
  <si>
    <t>d</t>
  </si>
  <si>
    <t>Ending Balance of Unamortized Transmission Projects</t>
  </si>
  <si>
    <t>e</t>
  </si>
  <si>
    <t>f</t>
  </si>
  <si>
    <t>g</t>
  </si>
  <si>
    <t>h</t>
  </si>
  <si>
    <t>(line a - line c)</t>
  </si>
  <si>
    <t>(line a + d)/2</t>
  </si>
  <si>
    <t>1- See row 85a, Appendix A.  See also amortization included in Attachment 7 revenue requirement calculation.</t>
  </si>
  <si>
    <t>2- See row 44a, Appendix A.  See also investment included in Attachment 7 revenue requirement calculation.</t>
  </si>
  <si>
    <t>Depr. Or Amort.</t>
  </si>
  <si>
    <t>Abandoned Plant Calculations</t>
  </si>
  <si>
    <t xml:space="preserve">Costs of Unamortized Abandoned Plant and Amortization of Abandoned Plant pre-approved for inclusion in this cell subject to Formula Rate Protocols by Commission </t>
  </si>
  <si>
    <t>Beginning Balance of Unamortized Transmission Projects</t>
  </si>
  <si>
    <t>(line f / line g)</t>
  </si>
  <si>
    <t>3- Carrying charge rate to be used when computing the revenue requirement for all abandonment plant facilities (see Attachment 7).</t>
  </si>
  <si>
    <t>Dedicated Facilities</t>
  </si>
  <si>
    <r>
      <t xml:space="preserve">Transmission Depreciation Expense Including Amortization of Limited Term Plant </t>
    </r>
    <r>
      <rPr>
        <vertAlign val="superscript"/>
        <sz val="12"/>
        <rFont val="Arial"/>
        <family val="2"/>
      </rPr>
      <t>1</t>
    </r>
  </si>
  <si>
    <r>
      <t xml:space="preserve">Average Balance of Unamortized Abandoned Transmission Projects </t>
    </r>
    <r>
      <rPr>
        <vertAlign val="superscript"/>
        <sz val="12"/>
        <rFont val="Arial"/>
        <family val="2"/>
      </rPr>
      <t>2</t>
    </r>
  </si>
  <si>
    <r>
      <t xml:space="preserve">Non-Incentive Return and Income Taxes </t>
    </r>
    <r>
      <rPr>
        <vertAlign val="superscript"/>
        <sz val="12"/>
        <rFont val="Arial"/>
        <family val="2"/>
      </rPr>
      <t>3</t>
    </r>
  </si>
  <si>
    <t>Baltimore Gas and Electric</t>
  </si>
  <si>
    <t>Attachment 9 - Depreciation Rates</t>
  </si>
  <si>
    <t>TRANSMISSION PLANT</t>
  </si>
  <si>
    <t>Deprec.</t>
  </si>
  <si>
    <t>Account</t>
  </si>
  <si>
    <t>Account Description</t>
  </si>
  <si>
    <t>Rate (%)</t>
  </si>
  <si>
    <t>LAND RIGHTS</t>
  </si>
  <si>
    <t>STRUCTURES AND IMPROVEMENTS</t>
  </si>
  <si>
    <t>STATION EQUIPMENT</t>
  </si>
  <si>
    <t>TOWERS AND FIXTURES</t>
  </si>
  <si>
    <t>POLES AND FIXTURES</t>
  </si>
  <si>
    <t>OVERHEAD CONDUCTORS AND DEVICES</t>
  </si>
  <si>
    <t>UNDERGROUND CONDUIT</t>
  </si>
  <si>
    <t>UNDERGROUND CONDUCTORS AND DEVICES</t>
  </si>
  <si>
    <t>ROADS AND TRAILS</t>
  </si>
  <si>
    <t>GENERAL PLANT - ELECTRIC</t>
  </si>
  <si>
    <t>OFFICE FURNITURE</t>
  </si>
  <si>
    <t>OFFICE EQUIPMENT</t>
  </si>
  <si>
    <t>PERSONAL COMPUTERS</t>
  </si>
  <si>
    <t>STORES EQUIPMENT</t>
  </si>
  <si>
    <t xml:space="preserve">TOOLS, SHOP AND GARAGE EQUIPMENT              </t>
  </si>
  <si>
    <t>LABORATORY EQUIPMENT</t>
  </si>
  <si>
    <t>COMMUNICATION EQUIPMENT</t>
  </si>
  <si>
    <t>COMMUNICATION EQUIPMENT - SMARTGRID</t>
  </si>
  <si>
    <t>COMMUNICATION EQUIPMENT - IHD DEVICES</t>
  </si>
  <si>
    <t>COMMUNICATION EQUIPMENT - PHASE 3 THERMOSTATS</t>
  </si>
  <si>
    <t>COMMUNICATION EQUIPMENT - DRI</t>
  </si>
  <si>
    <t>MISCELLANEOUS EQUIPMENT</t>
  </si>
  <si>
    <t>GENERAL PLANT - COMMON (ELECTRIC &amp; GAS)</t>
  </si>
  <si>
    <t>COMPUTER EQUIPMENT - OTHER</t>
  </si>
  <si>
    <t>COMPUTER HARDWARE WITH SMART GRID</t>
  </si>
  <si>
    <t>HYBRID VEHICLES</t>
  </si>
  <si>
    <t>PORTABLE TOOLS</t>
  </si>
  <si>
    <t>SHOP AND GARAGE EQUIPMENT</t>
  </si>
  <si>
    <t>CNG FUELING STATIONS</t>
  </si>
  <si>
    <t>COMMUNICATION EQUIPMENT - OVERHEAD</t>
  </si>
  <si>
    <t>COMMUNICATION EQUIPMENT - UNDERGROUND</t>
  </si>
  <si>
    <t>COMMUNICATION EQUIPMENT - OTHER</t>
  </si>
  <si>
    <t>COMMUNICATION EQUIPMENT - PORTABLE</t>
  </si>
  <si>
    <t>COMMUNICATION EQUIPMENT - MOBILE</t>
  </si>
  <si>
    <t>COMMUNICATION EQUIPMENT - SMART GRID</t>
  </si>
  <si>
    <t>Pension Expense Provision Asset</t>
  </si>
  <si>
    <t>Bad Debt - Change in Provision</t>
  </si>
  <si>
    <t>Accrued Bonus</t>
  </si>
  <si>
    <t>Deferred Investment Tax Credit</t>
  </si>
  <si>
    <t>AMI Reg Liability Adjustment CEG</t>
  </si>
  <si>
    <t>Workers Compensation Reserve</t>
  </si>
  <si>
    <t>Gas Inventory Overheads CEG</t>
  </si>
  <si>
    <t>BCBS Claim Adjustment CEG</t>
  </si>
  <si>
    <t>Addback of Other Equity Compensation</t>
  </si>
  <si>
    <t>Gas Demand Charge CEG</t>
  </si>
  <si>
    <t>GCRC Expenses CEG</t>
  </si>
  <si>
    <t>Charitable Contributions NC</t>
  </si>
  <si>
    <t>Miscellaneous Accrued Expenses</t>
  </si>
  <si>
    <t>Post Retirement Benefits</t>
  </si>
  <si>
    <t>Net Operating Losses (Federal and State)</t>
  </si>
  <si>
    <t>Electric portion included because rate base should include BGE's receivable from Maryland for tax benefits accounted for but deferred due to the NOL.</t>
  </si>
  <si>
    <t>AMI Pilot Program CEG</t>
  </si>
  <si>
    <t>AMI Reg Asset Adjustment CEG</t>
  </si>
  <si>
    <t>Amort of Inc Tax Recov - Reg Asset CEG</t>
  </si>
  <si>
    <t>DEFERRED FUEL - NC</t>
  </si>
  <si>
    <t>DRI Program CEG</t>
  </si>
  <si>
    <t>ENVIRONMENTAL CLEAN-UP COSTS PRV</t>
  </si>
  <si>
    <t>FIN 48 INTEREST - NONCURRENT</t>
  </si>
  <si>
    <t>Interest Income CEG</t>
  </si>
  <si>
    <t>Loss on Reacquired Debt CEG</t>
  </si>
  <si>
    <t>POLR CEG</t>
  </si>
  <si>
    <t>Reg Asset - Storm Cost Amort CEG</t>
  </si>
  <si>
    <t>Reg Asset Elec Trans Rt True Up CEG</t>
  </si>
  <si>
    <t>Reg Asset - Med D Inc All</t>
  </si>
  <si>
    <t>Reg Asset- ARO Electric &amp; Gas</t>
  </si>
  <si>
    <t>Reg Asset- Cost to Achieve</t>
  </si>
  <si>
    <t>Reg Asset - Rate Case Case Expense</t>
  </si>
  <si>
    <t>Reg Asset - Smart Energy Rewards</t>
  </si>
  <si>
    <t>RIF Reg Asset Amort</t>
  </si>
  <si>
    <t>RSB Unamort Debt CEG</t>
  </si>
  <si>
    <t>Sevrnce Cost-Reg Asset</t>
  </si>
  <si>
    <t>Generation Assets</t>
  </si>
  <si>
    <t>Merger Costs Current</t>
  </si>
  <si>
    <t>Prepaid IT Expense</t>
  </si>
  <si>
    <t xml:space="preserve">Included because prepayments are included in rate base.  Related to accelerated deductibility of these amounts for tax purposes. </t>
  </si>
  <si>
    <t>Prepaids</t>
  </si>
  <si>
    <t>Property Tax Payable</t>
  </si>
  <si>
    <t>Deferral of Maryland State Income Tax</t>
  </si>
  <si>
    <t>ENERGY EFFICIENCY PROGRAMS</t>
  </si>
  <si>
    <t xml:space="preserve">Included because plant in service is included in rate base.  </t>
  </si>
  <si>
    <t>STRIDE Overrecovery</t>
  </si>
  <si>
    <t>ERI Overrecovery</t>
  </si>
  <si>
    <t>Rabbie Trust &amp; Maxi Flat Income</t>
  </si>
  <si>
    <t>p207.104g</t>
  </si>
  <si>
    <t>p219.29c</t>
  </si>
  <si>
    <t>p200.21.c</t>
  </si>
  <si>
    <t>General and Intangible Plant</t>
  </si>
  <si>
    <t>p205.5.g &amp; p207.99.g</t>
  </si>
  <si>
    <t>p219.25.c</t>
  </si>
  <si>
    <t>Respondent amortizes investment tax credits against income tax expense.  Therefore zero is reported on this line.</t>
  </si>
  <si>
    <t>Transmission Depreciation</t>
  </si>
  <si>
    <t>p336.7b&amp;c</t>
  </si>
  <si>
    <t>p336.10 b&amp;c</t>
  </si>
  <si>
    <t>p336.1.d</t>
  </si>
  <si>
    <t>Transmission-specific and distribution-specific software amortization recorded as intangible amortization.</t>
  </si>
  <si>
    <t>General Depreciation multiplied by wage and salary allocator</t>
  </si>
  <si>
    <t>p323.197b</t>
  </si>
  <si>
    <t>Summary of Administrative and General Expense (A&amp;G) Charged to BGE by</t>
  </si>
  <si>
    <t>Exelon Business Services Company (BSC)</t>
  </si>
  <si>
    <t xml:space="preserve">Exelon Business Services Company (BSC) costs are distributed to all affiliates.  Appropriate </t>
  </si>
  <si>
    <t xml:space="preserve">cost allocation factors are assigned to the various headquarters functions to be distributed. </t>
  </si>
  <si>
    <t xml:space="preserve">This BSC cost distribution approach is documented in BGE's Cost Allocation Manual which </t>
  </si>
  <si>
    <t xml:space="preserve">is periodically filed with the Maryland Public Service Commission.  </t>
  </si>
  <si>
    <t xml:space="preserve">Costs distributed to BGE are recorded to the appropriate common A&amp;G expense </t>
  </si>
  <si>
    <t xml:space="preserve">accounts on BGE's books.  All common expenses (including allocations of cost from </t>
  </si>
  <si>
    <t xml:space="preserve">the BSC) are distributed to the electric and gas lines of business as noted on page 356.1 of the   </t>
  </si>
  <si>
    <t>ARO Adjustment Property</t>
  </si>
  <si>
    <t>Property Related ADIT, Excl ARO</t>
  </si>
  <si>
    <t>Transmission-specific software recorded in Account 303.</t>
  </si>
  <si>
    <t>Adjustments</t>
  </si>
  <si>
    <t>True-Up Amount</t>
  </si>
  <si>
    <t>Calculated Per Attachment 6</t>
  </si>
  <si>
    <t>Amount Per Attachment A</t>
  </si>
  <si>
    <t>Conastone 500kV Substation Project- 2008</t>
  </si>
  <si>
    <t>Waugh Chapel 500 kV Substation Project 2008</t>
  </si>
  <si>
    <t>Downtown Project 2007</t>
  </si>
  <si>
    <t>Northwest to Finksburg 2009</t>
  </si>
  <si>
    <t>Downtown Project 2008</t>
  </si>
  <si>
    <t>Conastone kV Substation Project 2009</t>
  </si>
  <si>
    <t>Waugh Chapel 500kV Substation Project- 2009</t>
  </si>
  <si>
    <t>Downtown Project 2009</t>
  </si>
  <si>
    <t>Waugh Chapel 500 kV Substation Project 2010</t>
  </si>
  <si>
    <t>Conastone 500kV Substation Project- 2010</t>
  </si>
  <si>
    <t>Downtown Project 2010</t>
  </si>
  <si>
    <t>Northwest to Finksburg 2010</t>
  </si>
  <si>
    <t>Waugh Chapel 500/230 kV Transformer 2011</t>
  </si>
  <si>
    <t>Waugh Chapel 500 kV Substation Project 2011</t>
  </si>
  <si>
    <t>Northwest to Finksburg 2011</t>
  </si>
  <si>
    <t>Waugh Chapel 500/230 kV Transformer 2012</t>
  </si>
  <si>
    <t>Dedicated Facility Project 2014</t>
  </si>
  <si>
    <t>Non-electric portion represents asset retirement reserve.</t>
  </si>
  <si>
    <t>Deferred Compensation</t>
  </si>
  <si>
    <t>Hanover Pike</t>
  </si>
  <si>
    <t>Monument Front Street</t>
  </si>
  <si>
    <t>Mays Chapel</t>
  </si>
  <si>
    <t>Russett East</t>
  </si>
  <si>
    <t>Distribution</t>
  </si>
  <si>
    <t>Page 356</t>
  </si>
  <si>
    <t>Dedicated Facility Project 2015</t>
  </si>
  <si>
    <t>Prepayments except Prepaid Pensions</t>
  </si>
  <si>
    <t>MAPP</t>
  </si>
  <si>
    <t>68a</t>
  </si>
  <si>
    <t xml:space="preserve">order issued in PJM Interconnection, L.L.C. and Baltimore Gas and Electric Co., 150 FERC  ¶ 61,054 (2015).  Costs of Unamortized Abandoned Plant and Amortization </t>
  </si>
  <si>
    <t>S</t>
  </si>
  <si>
    <t>See Attachment 5, Cost Support, section entitled "PBOP expense in FERC Account 926" for additional information per FERC orders in Docket Nos. EL13-48, EL15-27, and ER16-456.</t>
  </si>
  <si>
    <t>MAPP Project - Abandonment Costs</t>
  </si>
  <si>
    <t>Depr. or Amort.</t>
  </si>
  <si>
    <t>PBOP Expense in FERC 926</t>
  </si>
  <si>
    <t>Total A&amp;G
Form 1 Amount</t>
  </si>
  <si>
    <t>Account 926
Form 1 Amount</t>
  </si>
  <si>
    <t>PBOP in
FERC 926
current rate year</t>
  </si>
  <si>
    <t>PBOP in
FERC 926
prior rate year</t>
  </si>
  <si>
    <t>Explanation of change in PBOP in FERC 926</t>
  </si>
  <si>
    <t>Total: p.323.197.b
Account 926: p.323.187.b and c</t>
  </si>
  <si>
    <t>of 10.0% per FERC order issued in Docket No. EL13-48 and a 50 basis point RTO transmission planning participation adder approved in Baltimore Gas and Electric Co., Docket</t>
  </si>
  <si>
    <t>excludes the additional 100 basis points approved solely for the Conastone and Waugh Chapel substation projects.</t>
  </si>
  <si>
    <t xml:space="preserve">No. ER07-576, by order issued on July 24, 2007, for a total ROE of 11.5%.  The rest of transmission rate base, except as provided in Note Q below, gets an ROE of 10.5% because it </t>
  </si>
  <si>
    <t xml:space="preserve">inclusive of a base ROE of 10.0% per FERC order issued in Docket No. EL13-48 and a 50 basis point ROE transmission planning adder approved in Baltimore Gas and </t>
  </si>
  <si>
    <t>Electric Co., Docket No. ER07-576, by order issued on July 24, 2007.</t>
  </si>
  <si>
    <t xml:space="preserve">of Abandoned Plant approved for inclusion in this cell subject to Formula Rate Protocols by Commission order issued in PJM Interconnection, L.L.C. and Baltimore Gas </t>
  </si>
  <si>
    <t xml:space="preserve">and Electric Co., 152 FERC  ¶ 61,254 (2015).  </t>
  </si>
  <si>
    <t>Per PJM Interconnection, L.L.C. and Baltimore Gas &amp; Electric Co., 150 FERC ¶ 61,054 (2015) and PJM Interconnection, L.L.C. and Baltimore Gas &amp; Electric Co., 152 FERC ¶ 61,254 (2015)</t>
  </si>
  <si>
    <t xml:space="preserve">    For Informational Purposes: PBOP Expenses in FERC Account 926</t>
  </si>
  <si>
    <t>Non-electric portion represents asset retirement costs.</t>
  </si>
  <si>
    <t>Transmission-specific and distribution-specific software included in Account 303.</t>
  </si>
  <si>
    <t>Transmission-specific software amortization recorded as intangible amortization.</t>
  </si>
  <si>
    <t>Amount in Form 1 is already electric only.   Non-electric portion represents depreciation related to capital merger costs associated with the Company's merger with Exelon.</t>
  </si>
  <si>
    <t>Included to the extent underlying book-tax basis differences are included in the model.</t>
  </si>
  <si>
    <t>Pension asset is the extent to which inception to date investor contributions are higher than actually determined levels of pension cost.  The pension asset is funded by investor-supplied capital.</t>
  </si>
  <si>
    <t>Per FERC's order in Docket No. ER07-576, the Conastone and Waugh Chapel substation projects get an additional 100 basis points to the return on equity on top of a base ROE</t>
  </si>
  <si>
    <t xml:space="preserve">granted an additional 100 basis points to the return on equity (ROE) for these projects, resulting in a final ROE, for these projects, of 11.5%,  </t>
  </si>
  <si>
    <t xml:space="preserve">Per FERC's orders in Docket No. ER07-576, the Conastone and Waugh Chapel substation projects, the Downtown Project, and the Northwest to Finksburg project get an ROE of 11.5%.  </t>
  </si>
  <si>
    <t>The rest of transmission rate base gets an ROE of 10.5% which includes a 50 basis point RTO planning participation adder approved in Baltimore Gas and Electric Co., Docket No. ER07-576, by order issued on July 24, 2007.</t>
  </si>
  <si>
    <t>Electric's share of common advertising associated with safety</t>
  </si>
  <si>
    <t>Transmission-specific and distribution-specific software included in Account 303 ($31,344,412) and asset retirement costs ($781,249).</t>
  </si>
  <si>
    <t>Cold Spring-Camp Small</t>
  </si>
  <si>
    <t>Merger costs associated with PHI's merger with Exelon ($4,145,766) .</t>
  </si>
  <si>
    <t>of business for the last 20 plus years with no adverse comment from state or federal regulators</t>
  </si>
  <si>
    <t>Actual calculation of the results of the method for 2016:</t>
  </si>
  <si>
    <t xml:space="preserve">In 2016 the regulated electric business received 71.2% of common utility expenses and gas </t>
  </si>
  <si>
    <t>received a 28.8% share.</t>
  </si>
  <si>
    <t>Dedicated Facility Project 2016</t>
  </si>
  <si>
    <t>Vacation Pay</t>
  </si>
  <si>
    <t>Amount in Form 1 is already electric only.   Non-electric portion represents depreciation related to capital merger costs associated with the Company's mergers with Exelon ($1,730,923) and PHI ($657) and retail specific software ($24,005).</t>
  </si>
  <si>
    <t>Increase associated with updated participant census data as of January 1, 2016 and revised actuarial assumptions, including a lower discount rate.</t>
  </si>
  <si>
    <t>Respondent is both Electric and Gas Utility. Plant generally allocated using the net plant ratio.  Non-electric portion also represents merger costs associated with the Company's mergers with Exelon ($12,617,999 )and PHI ($41,602), asset retirement costs ($4,062,523) and retail specific software ($1,520,403).</t>
  </si>
  <si>
    <t>Non-electric portion represents merger costs associated with the Company's mergers with Exelon ($8,418,941) and PHI ($693), asset retirement reserve ($119,910), and retail specific software ($25,340).</t>
  </si>
  <si>
    <t xml:space="preserve">p219.28.c </t>
  </si>
  <si>
    <t>Transmission Lease Payments</t>
  </si>
  <si>
    <t>p200.4.c</t>
  </si>
  <si>
    <t>Form 1 amount is electric distribution only.</t>
  </si>
  <si>
    <t>Second Conastone-Graceton 230kV Circuit 2016</t>
  </si>
  <si>
    <t>Rebuild Graceton-Bagley 230kV 2016</t>
  </si>
  <si>
    <t>Rebuild Raphael-Bagley 230 kV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</si>
</sst>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0.0000"/>
    <numFmt numFmtId="167" formatCode="_(&quot;$&quot;* #,##0_);_(&quot;$&quot;* \(#,##0\);_(&quot;$&quot;* &quot;-&quot;??_);_(@_)"/>
    <numFmt numFmtId="168" formatCode="0.000%"/>
    <numFmt numFmtId="169" formatCode="0.00000"/>
    <numFmt numFmtId="170" formatCode="&quot;$&quot;#,##0.00"/>
    <numFmt numFmtId="171" formatCode="0.0%"/>
    <numFmt numFmtId="172" formatCode="_(* #,##0.0000_);_(* \(#,##0.0000\);_(* &quot;-&quot;??_);_(@_)"/>
    <numFmt numFmtId="173" formatCode="0.0000%"/>
    <numFmt numFmtId="174" formatCode="0.00000%"/>
    <numFmt numFmtId="175" formatCode="0.000000%"/>
    <numFmt numFmtId="176" formatCode="0.000000000"/>
    <numFmt numFmtId="177" formatCode="0.0000000"/>
    <numFmt numFmtId="178" formatCode="0.000"/>
    <numFmt numFmtId="179" formatCode="&quot;$&quot;#,##0"/>
  </numFmts>
  <fonts count="81">
    <font>
      <sz val="10"/>
      <name val="Arial"/>
    </font>
    <font>
      <sz val="11"/>
      <color theme="1"/>
      <name val="Calibri"/>
      <family val="2"/>
      <scheme val="minor"/>
    </font>
    <font>
      <sz val="10"/>
      <name val="Arial"/>
      <family val="2"/>
    </font>
    <font>
      <b/>
      <sz val="10"/>
      <name val="Arial"/>
      <family val="2"/>
    </font>
    <font>
      <b/>
      <sz val="12"/>
      <name val="Arial"/>
      <family val="2"/>
    </font>
    <font>
      <sz val="10"/>
      <color indexed="10"/>
      <name val="Arial"/>
      <family val="2"/>
    </font>
    <font>
      <sz val="12"/>
      <name val="Arial"/>
      <family val="2"/>
    </font>
    <font>
      <sz val="10"/>
      <name val="Courier"/>
      <family val="3"/>
    </font>
    <font>
      <sz val="12"/>
      <color indexed="12"/>
      <name val="Arial"/>
      <family val="2"/>
    </font>
    <font>
      <b/>
      <sz val="12"/>
      <color indexed="10"/>
      <name val="Arial"/>
      <family val="2"/>
    </font>
    <font>
      <sz val="12"/>
      <color indexed="10"/>
      <name val="Arial"/>
      <family val="2"/>
    </font>
    <font>
      <b/>
      <sz val="10"/>
      <color indexed="10"/>
      <name val="Arial"/>
      <family val="2"/>
    </font>
    <font>
      <sz val="12"/>
      <name val="Arial MT"/>
    </font>
    <font>
      <sz val="10"/>
      <color indexed="12"/>
      <name val="Arial"/>
      <family val="2"/>
    </font>
    <font>
      <b/>
      <sz val="14"/>
      <name val="Arial"/>
      <family val="2"/>
    </font>
    <font>
      <sz val="12"/>
      <color indexed="12"/>
      <name val="Helv"/>
    </font>
    <font>
      <sz val="12"/>
      <name val="Helv"/>
    </font>
    <font>
      <b/>
      <sz val="12"/>
      <name val="Helv"/>
    </font>
    <font>
      <b/>
      <u/>
      <sz val="12"/>
      <name val="Helv"/>
    </font>
    <font>
      <b/>
      <sz val="12"/>
      <color indexed="10"/>
      <name val="Helv"/>
    </font>
    <font>
      <b/>
      <sz val="12"/>
      <color indexed="12"/>
      <name val="Helv"/>
    </font>
    <font>
      <sz val="12"/>
      <color indexed="13"/>
      <name val="Arial"/>
      <family val="2"/>
    </font>
    <font>
      <b/>
      <sz val="12"/>
      <color indexed="13"/>
      <name val="Arial"/>
      <family val="2"/>
    </font>
    <font>
      <sz val="14"/>
      <name val="Arial"/>
      <family val="2"/>
    </font>
    <font>
      <sz val="12"/>
      <name val="Arial Narrow"/>
      <family val="2"/>
    </font>
    <font>
      <b/>
      <sz val="12"/>
      <color indexed="10"/>
      <name val="Arial Narrow"/>
      <family val="2"/>
    </font>
    <font>
      <b/>
      <sz val="14"/>
      <color indexed="13"/>
      <name val="Arial"/>
      <family val="2"/>
    </font>
    <font>
      <b/>
      <sz val="18"/>
      <name val="Arial"/>
      <family val="2"/>
    </font>
    <font>
      <sz val="12"/>
      <color indexed="10"/>
      <name val="Helv"/>
    </font>
    <font>
      <b/>
      <sz val="10"/>
      <color indexed="10"/>
      <name val="Helv"/>
    </font>
    <font>
      <b/>
      <sz val="10"/>
      <color indexed="10"/>
      <name val="Arial Narrow"/>
      <family val="2"/>
    </font>
    <font>
      <sz val="10"/>
      <name val="Arial Narrow"/>
      <family val="2"/>
    </font>
    <font>
      <b/>
      <sz val="10"/>
      <color indexed="14"/>
      <name val="Arial"/>
      <family val="2"/>
    </font>
    <font>
      <sz val="11"/>
      <name val="Arial"/>
      <family val="2"/>
    </font>
    <font>
      <b/>
      <sz val="10"/>
      <name val="Arial Narrow"/>
      <family val="2"/>
    </font>
    <font>
      <sz val="10"/>
      <color indexed="12"/>
      <name val="Arial Narrow"/>
      <family val="2"/>
    </font>
    <font>
      <sz val="10"/>
      <color indexed="10"/>
      <name val="Arial Narrow"/>
      <family val="2"/>
    </font>
    <font>
      <b/>
      <sz val="12"/>
      <name val="Arial Narrow"/>
      <family val="2"/>
    </font>
    <font>
      <sz val="12"/>
      <color indexed="12"/>
      <name val="Arial Narrow"/>
      <family val="2"/>
    </font>
    <font>
      <b/>
      <sz val="12"/>
      <color indexed="13"/>
      <name val="Arial Narrow"/>
      <family val="2"/>
    </font>
    <font>
      <sz val="12"/>
      <color indexed="13"/>
      <name val="Arial Narrow"/>
      <family val="2"/>
    </font>
    <font>
      <sz val="12"/>
      <color indexed="10"/>
      <name val="Arial Narrow"/>
      <family val="2"/>
    </font>
    <font>
      <b/>
      <u/>
      <sz val="12"/>
      <name val="Arial Narrow"/>
      <family val="2"/>
    </font>
    <font>
      <b/>
      <sz val="14"/>
      <name val="Arial Narrow"/>
      <family val="2"/>
    </font>
    <font>
      <sz val="14"/>
      <name val="Arial Narrow"/>
      <family val="2"/>
    </font>
    <font>
      <b/>
      <i/>
      <sz val="12"/>
      <color indexed="14"/>
      <name val="Arial Narrow"/>
      <family val="2"/>
    </font>
    <font>
      <sz val="9"/>
      <color indexed="10"/>
      <name val="Arial Narrow"/>
      <family val="2"/>
    </font>
    <font>
      <b/>
      <sz val="14"/>
      <color indexed="10"/>
      <name val="Arial"/>
      <family val="2"/>
    </font>
    <font>
      <b/>
      <sz val="16"/>
      <color indexed="10"/>
      <name val="Arial"/>
      <family val="2"/>
    </font>
    <font>
      <sz val="11"/>
      <name val="Arial Narrow"/>
      <family val="2"/>
    </font>
    <font>
      <b/>
      <sz val="16"/>
      <name val="Arial"/>
      <family val="2"/>
    </font>
    <font>
      <b/>
      <sz val="9"/>
      <color indexed="10"/>
      <name val="Helv"/>
    </font>
    <font>
      <sz val="9"/>
      <name val="Arial Narrow"/>
      <family val="2"/>
    </font>
    <font>
      <sz val="9"/>
      <name val="Arial"/>
      <family val="2"/>
    </font>
    <font>
      <b/>
      <sz val="9"/>
      <name val="Arial Narrow"/>
      <family val="2"/>
    </font>
    <font>
      <sz val="12"/>
      <color indexed="43"/>
      <name val="Arial"/>
      <family val="2"/>
    </font>
    <font>
      <b/>
      <u/>
      <sz val="10"/>
      <name val="Arial"/>
      <family val="2"/>
    </font>
    <font>
      <b/>
      <sz val="11"/>
      <name val="Arial"/>
      <family val="2"/>
    </font>
    <font>
      <u/>
      <sz val="10"/>
      <name val="Arial"/>
      <family val="2"/>
    </font>
    <font>
      <u/>
      <sz val="12"/>
      <name val="Arial"/>
      <family val="2"/>
    </font>
    <font>
      <b/>
      <u/>
      <sz val="12"/>
      <name val="Arial"/>
      <family val="2"/>
    </font>
    <font>
      <b/>
      <sz val="10"/>
      <color rgb="FFFF0000"/>
      <name val="Arial"/>
      <family val="2"/>
    </font>
    <font>
      <vertAlign val="superscript"/>
      <sz val="12"/>
      <name val="Arial"/>
      <family val="2"/>
    </font>
    <font>
      <b/>
      <u/>
      <sz val="16"/>
      <color indexed="10"/>
      <name val="Arial"/>
      <family val="2"/>
    </font>
    <font>
      <b/>
      <sz val="7"/>
      <name val="Arial Narrow"/>
      <family val="2"/>
    </font>
    <font>
      <sz val="10"/>
      <name val="Times New Roman"/>
      <family val="1"/>
    </font>
    <font>
      <sz val="7"/>
      <name val="Arial Narrow"/>
      <family val="2"/>
    </font>
    <font>
      <sz val="8"/>
      <name val="Arial Narrow"/>
      <family val="2"/>
    </font>
    <font>
      <u/>
      <sz val="7"/>
      <name val="Arial Narrow"/>
      <family val="2"/>
    </font>
    <font>
      <sz val="10"/>
      <color indexed="10"/>
      <name val="Times New Roman"/>
      <family val="1"/>
    </font>
    <font>
      <strike/>
      <sz val="10"/>
      <color indexed="10"/>
      <name val="Times New Roman"/>
      <family val="1"/>
    </font>
    <font>
      <sz val="10"/>
      <color indexed="12"/>
      <name val="Times New Roman"/>
      <family val="1"/>
    </font>
    <font>
      <b/>
      <sz val="12"/>
      <color indexed="8"/>
      <name val="Arial"/>
      <family val="2"/>
    </font>
    <font>
      <b/>
      <sz val="12"/>
      <color indexed="8"/>
      <name val="Helv"/>
    </font>
    <font>
      <b/>
      <sz val="12"/>
      <color indexed="14"/>
      <name val="Arial"/>
      <family val="2"/>
    </font>
    <font>
      <b/>
      <sz val="12"/>
      <color indexed="8"/>
      <name val="Helvetica"/>
      <family val="2"/>
    </font>
    <font>
      <b/>
      <sz val="11"/>
      <name val="Arial Narrow"/>
      <family val="2"/>
    </font>
    <font>
      <i/>
      <sz val="10"/>
      <name val="Arial"/>
      <family val="2"/>
    </font>
    <font>
      <sz val="8"/>
      <name val="Arial"/>
      <family val="2"/>
    </font>
    <font>
      <u/>
      <sz val="14"/>
      <name val="Arial"/>
      <family val="2"/>
    </font>
    <font>
      <sz val="10"/>
      <name val="Arial"/>
      <family val="2"/>
    </font>
  </fonts>
  <fills count="13">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10"/>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22"/>
        <bgColor indexed="64"/>
      </patternFill>
    </fill>
    <fill>
      <patternFill patternType="solid">
        <fgColor indexed="14"/>
        <bgColor indexed="64"/>
      </patternFill>
    </fill>
    <fill>
      <patternFill patternType="solid">
        <fgColor indexed="45"/>
        <bgColor indexed="64"/>
      </patternFill>
    </fill>
    <fill>
      <patternFill patternType="solid">
        <fgColor rgb="FFFFFF00"/>
        <bgColor indexed="64"/>
      </patternFill>
    </fill>
  </fills>
  <borders count="29">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44" fontId="2" fillId="0" borderId="0" applyFont="0" applyFill="0" applyBorder="0" applyAlignment="0" applyProtection="0"/>
    <xf numFmtId="165" fontId="7" fillId="0" borderId="0"/>
    <xf numFmtId="170" fontId="12" fillId="0" borderId="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8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171">
    <xf numFmtId="0" fontId="0" fillId="0" borderId="0" xfId="0"/>
    <xf numFmtId="0" fontId="4" fillId="0" borderId="0" xfId="0" applyFont="1"/>
    <xf numFmtId="0" fontId="0" fillId="0" borderId="0" xfId="0" applyFill="1"/>
    <xf numFmtId="0" fontId="4" fillId="0" borderId="0" xfId="0" applyNumberFormat="1" applyFont="1" applyAlignment="1">
      <alignment horizontal="center"/>
    </xf>
    <xf numFmtId="3" fontId="4" fillId="0" borderId="0" xfId="0" applyNumberFormat="1" applyFont="1" applyAlignment="1"/>
    <xf numFmtId="0" fontId="4" fillId="0" borderId="0" xfId="0" applyNumberFormat="1" applyFont="1" applyAlignment="1"/>
    <xf numFmtId="0" fontId="4" fillId="0" borderId="0" xfId="0" applyNumberFormat="1" applyFont="1" applyAlignment="1">
      <alignment horizontal="right"/>
    </xf>
    <xf numFmtId="0" fontId="4" fillId="0" borderId="0" xfId="0" applyNumberFormat="1" applyFont="1" applyFill="1" applyAlignment="1"/>
    <xf numFmtId="0" fontId="6" fillId="0" borderId="0" xfId="0" applyNumberFormat="1" applyFont="1" applyAlignment="1">
      <alignment horizontal="center"/>
    </xf>
    <xf numFmtId="0" fontId="6" fillId="0" borderId="0" xfId="0" applyFont="1" applyAlignment="1"/>
    <xf numFmtId="0" fontId="12" fillId="0" borderId="0" xfId="0" applyNumberFormat="1" applyFont="1" applyFill="1"/>
    <xf numFmtId="0" fontId="10" fillId="0" borderId="0" xfId="0" applyNumberFormat="1" applyFont="1" applyFill="1" applyAlignment="1"/>
    <xf numFmtId="0" fontId="4" fillId="0" borderId="1" xfId="0" applyFont="1" applyBorder="1"/>
    <xf numFmtId="173" fontId="4" fillId="0" borderId="0" xfId="5" applyNumberFormat="1" applyFont="1" applyAlignment="1"/>
    <xf numFmtId="0" fontId="4" fillId="0" borderId="1" xfId="0" applyNumberFormat="1" applyFont="1" applyFill="1" applyBorder="1" applyAlignment="1"/>
    <xf numFmtId="0" fontId="4" fillId="0" borderId="2" xfId="0" applyNumberFormat="1" applyFont="1" applyFill="1" applyBorder="1" applyAlignment="1"/>
    <xf numFmtId="3" fontId="4" fillId="0" borderId="2" xfId="0" applyNumberFormat="1" applyFont="1" applyBorder="1" applyAlignment="1"/>
    <xf numFmtId="0" fontId="4" fillId="0" borderId="2" xfId="0" applyFont="1" applyBorder="1"/>
    <xf numFmtId="3" fontId="4" fillId="0" borderId="2" xfId="0" applyNumberFormat="1" applyFont="1" applyBorder="1"/>
    <xf numFmtId="0" fontId="4" fillId="0" borderId="0" xfId="0" applyNumberFormat="1" applyFont="1" applyFill="1" applyAlignment="1">
      <alignment horizontal="center"/>
    </xf>
    <xf numFmtId="0" fontId="4" fillId="0" borderId="0" xfId="0" applyNumberFormat="1" applyFont="1" applyFill="1" applyBorder="1" applyAlignment="1"/>
    <xf numFmtId="0" fontId="6" fillId="0" borderId="0" xfId="0" applyFont="1"/>
    <xf numFmtId="0" fontId="6" fillId="0" borderId="0" xfId="0" applyNumberFormat="1" applyFont="1" applyAlignment="1">
      <alignment horizontal="right"/>
    </xf>
    <xf numFmtId="0" fontId="6" fillId="0" borderId="0" xfId="0" applyNumberFormat="1" applyFont="1" applyAlignment="1">
      <alignment horizontal="left"/>
    </xf>
    <xf numFmtId="0" fontId="6" fillId="0" borderId="0" xfId="0" applyNumberFormat="1" applyFont="1" applyFill="1" applyAlignment="1">
      <alignment horizontal="right"/>
    </xf>
    <xf numFmtId="0" fontId="6" fillId="0" borderId="0" xfId="0" applyNumberFormat="1" applyFont="1" applyFill="1" applyAlignment="1">
      <alignment horizontal="left"/>
    </xf>
    <xf numFmtId="0" fontId="6" fillId="0" borderId="0" xfId="0" applyFont="1" applyFill="1" applyAlignment="1"/>
    <xf numFmtId="0" fontId="6" fillId="0" borderId="0" xfId="0" applyFont="1" applyFill="1"/>
    <xf numFmtId="3" fontId="16" fillId="0" borderId="0" xfId="0" applyNumberFormat="1" applyFont="1" applyFill="1" applyAlignment="1">
      <alignment horizontal="right"/>
    </xf>
    <xf numFmtId="0" fontId="6" fillId="0" borderId="1" xfId="0" applyNumberFormat="1" applyFont="1" applyFill="1" applyBorder="1" applyAlignment="1">
      <alignment horizontal="left"/>
    </xf>
    <xf numFmtId="0" fontId="6" fillId="0" borderId="1" xfId="0" applyFont="1" applyFill="1" applyBorder="1" applyAlignment="1"/>
    <xf numFmtId="0" fontId="6" fillId="0" borderId="1" xfId="0" applyFont="1" applyBorder="1"/>
    <xf numFmtId="0" fontId="6" fillId="0" borderId="1" xfId="0" applyFont="1" applyFill="1" applyBorder="1"/>
    <xf numFmtId="0" fontId="18" fillId="0" borderId="0" xfId="0" applyNumberFormat="1" applyFont="1" applyFill="1" applyAlignment="1">
      <alignment horizontal="left"/>
    </xf>
    <xf numFmtId="0" fontId="6" fillId="0" borderId="1" xfId="0" applyFont="1" applyBorder="1" applyAlignment="1"/>
    <xf numFmtId="0" fontId="17" fillId="0" borderId="0" xfId="0" applyNumberFormat="1" applyFont="1" applyFill="1" applyAlignment="1">
      <alignment horizontal="left"/>
    </xf>
    <xf numFmtId="3" fontId="15" fillId="0" borderId="0" xfId="0" applyNumberFormat="1" applyFont="1" applyAlignment="1">
      <alignment horizontal="right"/>
    </xf>
    <xf numFmtId="10" fontId="6" fillId="0" borderId="0" xfId="0" applyNumberFormat="1" applyFont="1" applyFill="1" applyAlignment="1">
      <alignment horizontal="right"/>
    </xf>
    <xf numFmtId="0" fontId="6" fillId="0" borderId="0" xfId="0" applyFont="1" applyBorder="1" applyAlignment="1"/>
    <xf numFmtId="173" fontId="6" fillId="0" borderId="0" xfId="0" applyNumberFormat="1" applyFont="1" applyAlignment="1">
      <alignment horizontal="right"/>
    </xf>
    <xf numFmtId="10" fontId="6" fillId="0" borderId="0" xfId="0" applyNumberFormat="1" applyFont="1" applyAlignment="1">
      <alignment horizontal="right"/>
    </xf>
    <xf numFmtId="3" fontId="16" fillId="0" borderId="0" xfId="0" applyNumberFormat="1" applyFont="1" applyBorder="1" applyAlignment="1">
      <alignment horizontal="right"/>
    </xf>
    <xf numFmtId="0" fontId="6" fillId="0" borderId="0" xfId="0" applyFont="1" applyFill="1" applyAlignment="1">
      <alignment horizontal="left"/>
    </xf>
    <xf numFmtId="0" fontId="16" fillId="0" borderId="0" xfId="0" applyNumberFormat="1" applyFont="1" applyFill="1" applyAlignment="1">
      <alignment horizontal="left"/>
    </xf>
    <xf numFmtId="0" fontId="6" fillId="0" borderId="0" xfId="0" applyFont="1" applyAlignment="1">
      <alignment horizontal="left"/>
    </xf>
    <xf numFmtId="3" fontId="6" fillId="0" borderId="1" xfId="0" applyNumberFormat="1" applyFont="1" applyBorder="1" applyAlignment="1">
      <alignment horizontal="right"/>
    </xf>
    <xf numFmtId="3" fontId="20" fillId="0" borderId="1" xfId="0" applyNumberFormat="1" applyFont="1" applyBorder="1" applyAlignment="1">
      <alignment horizontal="right"/>
    </xf>
    <xf numFmtId="3" fontId="17" fillId="0" borderId="1" xfId="0" applyNumberFormat="1" applyFont="1" applyBorder="1" applyAlignment="1">
      <alignment horizontal="right"/>
    </xf>
    <xf numFmtId="3" fontId="4" fillId="0" borderId="1" xfId="0" applyNumberFormat="1" applyFont="1" applyBorder="1" applyAlignment="1">
      <alignment horizontal="right"/>
    </xf>
    <xf numFmtId="0" fontId="6" fillId="0" borderId="0" xfId="0" applyFont="1" applyAlignment="1">
      <alignment horizontal="right"/>
    </xf>
    <xf numFmtId="173" fontId="15" fillId="0" borderId="0" xfId="0" applyNumberFormat="1" applyFont="1" applyAlignment="1">
      <alignment horizontal="right"/>
    </xf>
    <xf numFmtId="3" fontId="16" fillId="0" borderId="0" xfId="0" applyNumberFormat="1" applyFont="1" applyAlignment="1">
      <alignment horizontal="right"/>
    </xf>
    <xf numFmtId="166" fontId="4" fillId="0" borderId="0" xfId="0" applyNumberFormat="1" applyFont="1" applyAlignment="1"/>
    <xf numFmtId="0" fontId="6" fillId="0" borderId="0" xfId="0" applyNumberFormat="1" applyFont="1" applyFill="1" applyAlignment="1">
      <alignment horizontal="center"/>
    </xf>
    <xf numFmtId="0" fontId="6" fillId="0" borderId="0" xfId="0" applyNumberFormat="1" applyFont="1" applyBorder="1" applyAlignment="1">
      <alignment horizontal="center"/>
    </xf>
    <xf numFmtId="0" fontId="6" fillId="0" borderId="0" xfId="0" applyNumberFormat="1" applyFont="1" applyBorder="1" applyAlignment="1">
      <alignment horizontal="left"/>
    </xf>
    <xf numFmtId="0" fontId="6" fillId="0" borderId="0" xfId="0" applyFont="1" applyFill="1" applyBorder="1" applyAlignment="1"/>
    <xf numFmtId="3" fontId="15" fillId="0" borderId="0" xfId="0" applyNumberFormat="1" applyFont="1" applyBorder="1" applyAlignment="1">
      <alignment horizontal="right"/>
    </xf>
    <xf numFmtId="0" fontId="6" fillId="0" borderId="0" xfId="0" applyFont="1" applyBorder="1"/>
    <xf numFmtId="3" fontId="15" fillId="0" borderId="1" xfId="0" applyNumberFormat="1" applyFont="1" applyBorder="1" applyAlignment="1">
      <alignment horizontal="right"/>
    </xf>
    <xf numFmtId="0" fontId="4" fillId="0" borderId="0" xfId="0" applyNumberFormat="1" applyFont="1" applyBorder="1" applyAlignment="1"/>
    <xf numFmtId="3" fontId="4" fillId="0" borderId="0" xfId="0" applyNumberFormat="1" applyFont="1" applyBorder="1" applyAlignment="1"/>
    <xf numFmtId="3" fontId="4" fillId="0" borderId="0" xfId="0" quotePrefix="1" applyNumberFormat="1" applyFont="1" applyBorder="1" applyAlignment="1">
      <alignment horizontal="right"/>
    </xf>
    <xf numFmtId="3" fontId="6" fillId="0" borderId="0" xfId="0" applyNumberFormat="1" applyFont="1"/>
    <xf numFmtId="0" fontId="4" fillId="0" borderId="1" xfId="0" applyNumberFormat="1" applyFont="1" applyBorder="1" applyAlignment="1"/>
    <xf numFmtId="0" fontId="17" fillId="0" borderId="0" xfId="0" applyNumberFormat="1" applyFont="1" applyFill="1" applyBorder="1" applyAlignment="1">
      <alignment horizontal="left"/>
    </xf>
    <xf numFmtId="0" fontId="17" fillId="0" borderId="1" xfId="0" applyNumberFormat="1" applyFont="1" applyFill="1" applyBorder="1" applyAlignment="1">
      <alignment horizontal="left"/>
    </xf>
    <xf numFmtId="0" fontId="6" fillId="0" borderId="0" xfId="0" applyFont="1" applyAlignment="1">
      <alignment horizontal="center"/>
    </xf>
    <xf numFmtId="0" fontId="6" fillId="0" borderId="0" xfId="0" applyFont="1" applyFill="1" applyAlignment="1">
      <alignment horizontal="center"/>
    </xf>
    <xf numFmtId="0" fontId="16" fillId="0" borderId="3" xfId="0" applyNumberFormat="1" applyFont="1" applyFill="1" applyBorder="1" applyAlignment="1">
      <alignment horizontal="left"/>
    </xf>
    <xf numFmtId="0" fontId="6" fillId="0" borderId="3" xfId="0" applyFont="1" applyFill="1" applyBorder="1" applyAlignment="1">
      <alignment horizontal="left"/>
    </xf>
    <xf numFmtId="0" fontId="6" fillId="0" borderId="3" xfId="0" applyNumberFormat="1" applyFont="1" applyBorder="1" applyAlignment="1">
      <alignment horizontal="left"/>
    </xf>
    <xf numFmtId="3" fontId="15" fillId="0" borderId="3" xfId="0" applyNumberFormat="1" applyFont="1" applyBorder="1" applyAlignment="1">
      <alignment horizontal="right"/>
    </xf>
    <xf numFmtId="0" fontId="17" fillId="0" borderId="0" xfId="0" applyNumberFormat="1" applyFont="1" applyAlignment="1">
      <alignment horizontal="left"/>
    </xf>
    <xf numFmtId="0" fontId="16" fillId="0" borderId="0" xfId="0" applyNumberFormat="1" applyFont="1" applyFill="1" applyBorder="1" applyAlignment="1">
      <alignment horizontal="left"/>
    </xf>
    <xf numFmtId="0" fontId="6" fillId="0" borderId="0" xfId="0" applyFont="1" applyFill="1" applyBorder="1" applyAlignment="1">
      <alignment horizontal="left"/>
    </xf>
    <xf numFmtId="3" fontId="17" fillId="0" borderId="1" xfId="0" applyNumberFormat="1" applyFont="1" applyFill="1" applyBorder="1" applyAlignment="1">
      <alignment horizontal="right"/>
    </xf>
    <xf numFmtId="0" fontId="6" fillId="0" borderId="3" xfId="0" applyFont="1" applyBorder="1" applyAlignment="1"/>
    <xf numFmtId="173" fontId="6" fillId="0" borderId="3" xfId="0" applyNumberFormat="1" applyFont="1" applyBorder="1" applyAlignment="1">
      <alignment horizontal="right"/>
    </xf>
    <xf numFmtId="0" fontId="4" fillId="0" borderId="0" xfId="0" applyNumberFormat="1" applyFont="1" applyAlignment="1">
      <alignment horizontal="left"/>
    </xf>
    <xf numFmtId="0" fontId="10" fillId="0" borderId="0" xfId="0" applyNumberFormat="1" applyFont="1" applyFill="1" applyAlignment="1">
      <alignment horizontal="center"/>
    </xf>
    <xf numFmtId="0" fontId="6" fillId="0" borderId="0" xfId="0" applyFont="1" applyFill="1" applyAlignment="1">
      <alignment horizontal="right"/>
    </xf>
    <xf numFmtId="0" fontId="6" fillId="0" borderId="0" xfId="0" applyFont="1" applyFill="1" applyBorder="1"/>
    <xf numFmtId="0" fontId="4" fillId="0" borderId="2" xfId="0" applyFont="1" applyBorder="1" applyAlignment="1"/>
    <xf numFmtId="173" fontId="4" fillId="0" borderId="2" xfId="5" applyNumberFormat="1" applyFont="1" applyBorder="1" applyAlignment="1"/>
    <xf numFmtId="0" fontId="6" fillId="0" borderId="2" xfId="0" applyFont="1" applyBorder="1"/>
    <xf numFmtId="168" fontId="4" fillId="0" borderId="2" xfId="0" applyNumberFormat="1" applyFont="1" applyBorder="1" applyAlignment="1">
      <alignment horizontal="left"/>
    </xf>
    <xf numFmtId="169" fontId="4" fillId="0" borderId="2" xfId="0" applyNumberFormat="1" applyFont="1" applyBorder="1" applyAlignment="1">
      <alignment horizontal="center"/>
    </xf>
    <xf numFmtId="0" fontId="6" fillId="0" borderId="0" xfId="0" applyFont="1" applyFill="1" applyBorder="1" applyAlignment="1">
      <alignment horizontal="center" wrapText="1"/>
    </xf>
    <xf numFmtId="0" fontId="6" fillId="0" borderId="2" xfId="0" applyFont="1" applyFill="1" applyBorder="1" applyAlignment="1"/>
    <xf numFmtId="0" fontId="6" fillId="0" borderId="2" xfId="0" applyFont="1" applyBorder="1" applyAlignment="1"/>
    <xf numFmtId="0" fontId="21" fillId="0" borderId="0" xfId="0" applyFont="1" applyFill="1" applyBorder="1" applyAlignment="1">
      <alignment horizontal="center"/>
    </xf>
    <xf numFmtId="0" fontId="22" fillId="0" borderId="0" xfId="0" applyFont="1" applyFill="1" applyBorder="1" applyAlignment="1"/>
    <xf numFmtId="0" fontId="6" fillId="3" borderId="0" xfId="0" applyFont="1" applyFill="1" applyAlignment="1"/>
    <xf numFmtId="0" fontId="6" fillId="3" borderId="0" xfId="0" applyFont="1" applyFill="1"/>
    <xf numFmtId="164" fontId="6" fillId="2" borderId="0" xfId="1" applyNumberFormat="1" applyFont="1" applyFill="1" applyBorder="1"/>
    <xf numFmtId="0" fontId="6" fillId="0" borderId="0" xfId="0" applyNumberFormat="1" applyFont="1" applyBorder="1"/>
    <xf numFmtId="0" fontId="4" fillId="0" borderId="0" xfId="0" applyFont="1" applyBorder="1" applyAlignment="1"/>
    <xf numFmtId="173" fontId="6" fillId="0" borderId="0" xfId="0" applyNumberFormat="1" applyFont="1" applyBorder="1" applyAlignment="1">
      <alignment horizontal="right"/>
    </xf>
    <xf numFmtId="0" fontId="16" fillId="0" borderId="0" xfId="0" applyFont="1" applyAlignment="1"/>
    <xf numFmtId="37" fontId="17" fillId="0" borderId="0" xfId="0" applyNumberFormat="1" applyFont="1" applyBorder="1" applyAlignment="1">
      <alignment horizontal="right"/>
    </xf>
    <xf numFmtId="3" fontId="4" fillId="0" borderId="0" xfId="0" applyNumberFormat="1" applyFont="1" applyFill="1" applyBorder="1" applyAlignment="1"/>
    <xf numFmtId="169" fontId="4" fillId="0" borderId="2" xfId="0" applyNumberFormat="1" applyFont="1" applyBorder="1" applyAlignment="1"/>
    <xf numFmtId="168" fontId="4" fillId="0" borderId="0" xfId="0" applyNumberFormat="1" applyFont="1" applyBorder="1" applyAlignment="1">
      <alignment horizontal="left"/>
    </xf>
    <xf numFmtId="43" fontId="6" fillId="0" borderId="0" xfId="0" applyNumberFormat="1" applyFont="1"/>
    <xf numFmtId="175" fontId="6" fillId="0" borderId="0" xfId="5" applyNumberFormat="1" applyFont="1"/>
    <xf numFmtId="43" fontId="6" fillId="0" borderId="0" xfId="1" applyFont="1"/>
    <xf numFmtId="0" fontId="4" fillId="0" borderId="1" xfId="0" applyNumberFormat="1" applyFont="1" applyBorder="1" applyAlignment="1">
      <alignment horizontal="left"/>
    </xf>
    <xf numFmtId="0" fontId="4" fillId="0" borderId="1" xfId="0" applyFont="1" applyFill="1" applyBorder="1" applyAlignment="1"/>
    <xf numFmtId="0" fontId="4" fillId="0" borderId="1" xfId="0" applyFont="1" applyBorder="1" applyAlignment="1"/>
    <xf numFmtId="3" fontId="4" fillId="0" borderId="1" xfId="0" applyNumberFormat="1" applyFont="1" applyBorder="1"/>
    <xf numFmtId="37" fontId="16" fillId="0" borderId="0" xfId="0" applyNumberFormat="1" applyFont="1" applyBorder="1" applyAlignment="1">
      <alignment horizontal="left"/>
    </xf>
    <xf numFmtId="0" fontId="6" fillId="3" borderId="0" xfId="0" applyNumberFormat="1" applyFont="1" applyFill="1" applyAlignment="1">
      <alignment horizontal="center"/>
    </xf>
    <xf numFmtId="0" fontId="22" fillId="3" borderId="0" xfId="0" applyNumberFormat="1" applyFont="1" applyFill="1" applyAlignment="1">
      <alignment horizontal="left"/>
    </xf>
    <xf numFmtId="3" fontId="17" fillId="0" borderId="0" xfId="0" applyNumberFormat="1" applyFont="1" applyBorder="1" applyAlignment="1">
      <alignment horizontal="right"/>
    </xf>
    <xf numFmtId="0" fontId="5" fillId="0" borderId="0" xfId="0" applyFont="1"/>
    <xf numFmtId="0" fontId="23" fillId="0" borderId="4" xfId="0" applyNumberFormat="1" applyFont="1" applyBorder="1" applyAlignment="1">
      <alignment horizontal="center"/>
    </xf>
    <xf numFmtId="0" fontId="23" fillId="0" borderId="4" xfId="0" applyFont="1" applyBorder="1" applyAlignment="1"/>
    <xf numFmtId="0" fontId="14" fillId="0" borderId="4" xfId="0" applyNumberFormat="1" applyFont="1" applyBorder="1" applyAlignment="1">
      <alignment horizontal="left"/>
    </xf>
    <xf numFmtId="0" fontId="14" fillId="0" borderId="4" xfId="0" applyFont="1" applyFill="1" applyBorder="1"/>
    <xf numFmtId="0" fontId="14" fillId="0" borderId="4" xfId="0" applyFont="1" applyBorder="1" applyAlignment="1"/>
    <xf numFmtId="3" fontId="14" fillId="0" borderId="4" xfId="0" applyNumberFormat="1" applyFont="1" applyBorder="1"/>
    <xf numFmtId="164" fontId="6" fillId="0" borderId="0" xfId="1" applyNumberFormat="1" applyFont="1"/>
    <xf numFmtId="3" fontId="15" fillId="0" borderId="0" xfId="0" applyNumberFormat="1" applyFont="1" applyFill="1" applyAlignment="1">
      <alignment horizontal="right"/>
    </xf>
    <xf numFmtId="0" fontId="6" fillId="0" borderId="3" xfId="0" applyNumberFormat="1" applyFont="1" applyFill="1" applyBorder="1" applyAlignment="1">
      <alignment horizontal="left"/>
    </xf>
    <xf numFmtId="0" fontId="4" fillId="0" borderId="4" xfId="0" applyFont="1" applyBorder="1"/>
    <xf numFmtId="0" fontId="16" fillId="0" borderId="0" xfId="0" applyFont="1" applyBorder="1" applyAlignment="1"/>
    <xf numFmtId="0" fontId="14" fillId="0" borderId="0" xfId="0" applyNumberFormat="1" applyFont="1" applyBorder="1" applyAlignment="1">
      <alignment horizontal="center"/>
    </xf>
    <xf numFmtId="0" fontId="14" fillId="0" borderId="4" xfId="0" applyNumberFormat="1" applyFont="1" applyBorder="1" applyAlignment="1">
      <alignment horizontal="center"/>
    </xf>
    <xf numFmtId="0" fontId="4" fillId="0" borderId="0" xfId="0" applyNumberFormat="1" applyFont="1" applyBorder="1" applyAlignment="1">
      <alignment horizontal="left"/>
    </xf>
    <xf numFmtId="164" fontId="4" fillId="0" borderId="2" xfId="1" applyNumberFormat="1" applyFont="1" applyFill="1" applyBorder="1" applyAlignment="1">
      <alignment horizontal="right"/>
    </xf>
    <xf numFmtId="0" fontId="6" fillId="0" borderId="3" xfId="0" applyNumberFormat="1" applyFont="1" applyBorder="1" applyAlignment="1">
      <alignment horizontal="center"/>
    </xf>
    <xf numFmtId="0" fontId="10" fillId="0" borderId="0" xfId="0" applyFont="1" applyFill="1" applyAlignment="1">
      <alignment horizontal="center"/>
    </xf>
    <xf numFmtId="0" fontId="17" fillId="0" borderId="0" xfId="0" applyNumberFormat="1" applyFont="1" applyFill="1" applyBorder="1" applyAlignment="1">
      <alignment horizontal="center"/>
    </xf>
    <xf numFmtId="0" fontId="6" fillId="0" borderId="0" xfId="0" applyFont="1" applyBorder="1" applyAlignment="1">
      <alignment horizontal="center"/>
    </xf>
    <xf numFmtId="0" fontId="8" fillId="0" borderId="0" xfId="0" applyFont="1" applyFill="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4" fillId="0" borderId="2" xfId="0" applyFont="1" applyBorder="1" applyAlignment="1">
      <alignment horizontal="center"/>
    </xf>
    <xf numFmtId="0" fontId="6" fillId="0" borderId="1" xfId="0" applyNumberFormat="1" applyFont="1" applyBorder="1" applyAlignment="1">
      <alignment horizontal="center"/>
    </xf>
    <xf numFmtId="0" fontId="6" fillId="0" borderId="3" xfId="0" applyNumberFormat="1" applyFont="1" applyFill="1" applyBorder="1" applyAlignment="1">
      <alignment horizontal="center"/>
    </xf>
    <xf numFmtId="0" fontId="17" fillId="0" borderId="0" xfId="0" applyNumberFormat="1" applyFont="1" applyFill="1" applyAlignment="1">
      <alignment horizontal="center"/>
    </xf>
    <xf numFmtId="0" fontId="6" fillId="0" borderId="1" xfId="0" applyFont="1" applyFill="1" applyBorder="1" applyAlignment="1">
      <alignment horizontal="center"/>
    </xf>
    <xf numFmtId="0" fontId="6" fillId="0" borderId="3" xfId="0" applyFont="1" applyBorder="1" applyAlignment="1">
      <alignment horizontal="center"/>
    </xf>
    <xf numFmtId="0" fontId="4" fillId="0" borderId="0" xfId="0" applyFont="1" applyBorder="1" applyAlignment="1">
      <alignment horizontal="center"/>
    </xf>
    <xf numFmtId="3" fontId="4" fillId="0" borderId="2" xfId="0" applyNumberFormat="1" applyFont="1" applyBorder="1" applyAlignment="1">
      <alignment horizontal="center"/>
    </xf>
    <xf numFmtId="0" fontId="6" fillId="0" borderId="0" xfId="0" applyNumberFormat="1" applyFont="1" applyFill="1" applyBorder="1" applyAlignment="1">
      <alignment horizontal="center"/>
    </xf>
    <xf numFmtId="3" fontId="4" fillId="0" borderId="1" xfId="0" applyNumberFormat="1" applyFont="1" applyBorder="1" applyAlignment="1">
      <alignment horizontal="center"/>
    </xf>
    <xf numFmtId="0" fontId="14" fillId="0" borderId="4" xfId="0" applyFont="1" applyBorder="1" applyAlignment="1">
      <alignment horizontal="center"/>
    </xf>
    <xf numFmtId="0" fontId="19" fillId="0" borderId="0" xfId="0" applyFont="1" applyBorder="1" applyAlignment="1">
      <alignment horizontal="center"/>
    </xf>
    <xf numFmtId="0" fontId="6" fillId="0" borderId="3" xfId="0" applyFont="1" applyFill="1" applyBorder="1" applyAlignment="1"/>
    <xf numFmtId="0" fontId="8" fillId="0" borderId="0" xfId="0" applyFont="1" applyFill="1" applyBorder="1" applyAlignment="1">
      <alignment horizontal="center"/>
    </xf>
    <xf numFmtId="0" fontId="24" fillId="0" borderId="0" xfId="0" applyFont="1" applyBorder="1" applyAlignment="1"/>
    <xf numFmtId="0" fontId="25" fillId="0" borderId="0" xfId="0" applyFont="1" applyBorder="1" applyAlignment="1">
      <alignment horizontal="center"/>
    </xf>
    <xf numFmtId="37" fontId="24" fillId="0" borderId="0" xfId="0" applyNumberFormat="1" applyFont="1" applyBorder="1" applyAlignment="1">
      <alignment horizontal="left"/>
    </xf>
    <xf numFmtId="0" fontId="24" fillId="0" borderId="0" xfId="0" applyFont="1" applyFill="1" applyAlignment="1">
      <alignment horizontal="left"/>
    </xf>
    <xf numFmtId="0" fontId="24" fillId="0" borderId="0" xfId="0" applyNumberFormat="1" applyFont="1" applyFill="1"/>
    <xf numFmtId="0" fontId="24" fillId="0" borderId="0" xfId="0" applyFont="1" applyFill="1" applyAlignment="1"/>
    <xf numFmtId="0" fontId="8" fillId="0" borderId="1" xfId="0" applyFont="1" applyFill="1" applyBorder="1" applyAlignment="1"/>
    <xf numFmtId="0" fontId="8" fillId="0" borderId="3" xfId="0" applyFont="1" applyFill="1" applyBorder="1" applyAlignment="1"/>
    <xf numFmtId="0" fontId="8" fillId="0" borderId="3" xfId="0" applyFont="1" applyFill="1" applyBorder="1" applyAlignment="1">
      <alignment horizontal="center"/>
    </xf>
    <xf numFmtId="171" fontId="16" fillId="0" borderId="0" xfId="5" applyNumberFormat="1" applyFont="1" applyAlignment="1">
      <alignment horizontal="right"/>
    </xf>
    <xf numFmtId="0" fontId="8" fillId="0" borderId="1" xfId="0" applyNumberFormat="1" applyFont="1" applyFill="1" applyBorder="1" applyAlignment="1">
      <alignment horizontal="center"/>
    </xf>
    <xf numFmtId="0" fontId="6" fillId="0" borderId="0" xfId="0" applyFont="1" applyFill="1" applyBorder="1" applyAlignment="1">
      <alignment horizontal="center"/>
    </xf>
    <xf numFmtId="0" fontId="8" fillId="0" borderId="0" xfId="0" applyFont="1" applyFill="1" applyAlignment="1">
      <alignment horizontal="left"/>
    </xf>
    <xf numFmtId="0" fontId="23" fillId="0" borderId="0" xfId="0" applyNumberFormat="1" applyFont="1" applyBorder="1" applyAlignment="1">
      <alignment horizontal="center"/>
    </xf>
    <xf numFmtId="0" fontId="23" fillId="0" borderId="0" xfId="0" applyFont="1" applyBorder="1" applyAlignment="1"/>
    <xf numFmtId="0" fontId="24" fillId="0" borderId="0" xfId="0" applyFont="1" applyAlignment="1"/>
    <xf numFmtId="0" fontId="4" fillId="0" borderId="0" xfId="0" applyFont="1" applyFill="1"/>
    <xf numFmtId="37" fontId="14" fillId="0" borderId="4" xfId="0" applyNumberFormat="1" applyFont="1" applyBorder="1" applyAlignment="1">
      <alignment horizontal="center"/>
    </xf>
    <xf numFmtId="0" fontId="4" fillId="0" borderId="0" xfId="0" applyFont="1" applyFill="1" applyBorder="1"/>
    <xf numFmtId="3" fontId="4" fillId="0" borderId="0" xfId="0" applyNumberFormat="1" applyFont="1" applyFill="1" applyBorder="1"/>
    <xf numFmtId="10" fontId="9" fillId="0" borderId="0" xfId="0" applyNumberFormat="1" applyFont="1" applyFill="1" applyAlignment="1">
      <alignment horizontal="right"/>
    </xf>
    <xf numFmtId="3" fontId="10" fillId="0" borderId="0" xfId="0" applyNumberFormat="1" applyFont="1" applyBorder="1" applyAlignment="1"/>
    <xf numFmtId="3" fontId="28" fillId="0" borderId="0" xfId="0" applyNumberFormat="1" applyFont="1" applyBorder="1" applyAlignment="1">
      <alignment horizontal="right"/>
    </xf>
    <xf numFmtId="3" fontId="19" fillId="0" borderId="0" xfId="0" applyNumberFormat="1" applyFont="1" applyBorder="1" applyAlignment="1">
      <alignment horizontal="right"/>
    </xf>
    <xf numFmtId="0" fontId="10" fillId="0" borderId="0" xfId="0" applyNumberFormat="1" applyFont="1" applyFill="1" applyBorder="1" applyAlignment="1">
      <alignment horizontal="center"/>
    </xf>
    <xf numFmtId="0" fontId="29" fillId="0" borderId="0" xfId="0" applyFont="1" applyFill="1" applyBorder="1"/>
    <xf numFmtId="0" fontId="0" fillId="0" borderId="0" xfId="0" applyAlignment="1">
      <alignment horizontal="center"/>
    </xf>
    <xf numFmtId="0" fontId="14" fillId="0" borderId="0" xfId="0" applyNumberFormat="1" applyFont="1" applyFill="1" applyBorder="1" applyAlignment="1">
      <alignment horizontal="center"/>
    </xf>
    <xf numFmtId="0" fontId="29" fillId="0" borderId="0" xfId="0" applyFont="1" applyFill="1" applyBorder="1" applyAlignment="1">
      <alignment horizontal="left"/>
    </xf>
    <xf numFmtId="0" fontId="30" fillId="0" borderId="0" xfId="0" applyFont="1" applyFill="1" applyBorder="1"/>
    <xf numFmtId="0" fontId="30" fillId="0" borderId="0" xfId="0" applyFont="1" applyFill="1" applyBorder="1" applyAlignment="1">
      <alignment horizontal="left"/>
    </xf>
    <xf numFmtId="0" fontId="31" fillId="0" borderId="0" xfId="0" applyFont="1"/>
    <xf numFmtId="0" fontId="31" fillId="0" borderId="0" xfId="0" applyFont="1" applyFill="1"/>
    <xf numFmtId="0" fontId="31" fillId="0" borderId="0" xfId="0" applyFont="1" applyBorder="1"/>
    <xf numFmtId="0" fontId="30" fillId="0" borderId="0" xfId="0" applyFont="1" applyBorder="1"/>
    <xf numFmtId="0" fontId="11" fillId="0" borderId="0" xfId="0" applyFont="1"/>
    <xf numFmtId="0" fontId="32" fillId="0" borderId="0" xfId="0" applyFont="1" applyAlignment="1">
      <alignment horizontal="center"/>
    </xf>
    <xf numFmtId="0" fontId="11" fillId="0" borderId="0" xfId="0" applyFont="1" applyFill="1"/>
    <xf numFmtId="164" fontId="4" fillId="0" borderId="0" xfId="1" applyNumberFormat="1" applyFont="1" applyAlignment="1"/>
    <xf numFmtId="164" fontId="4" fillId="2" borderId="0" xfId="1" applyNumberFormat="1" applyFont="1" applyFill="1"/>
    <xf numFmtId="0" fontId="8" fillId="0" borderId="0" xfId="0" applyFont="1" applyFill="1" applyBorder="1"/>
    <xf numFmtId="3" fontId="6" fillId="0" borderId="0" xfId="0" applyNumberFormat="1" applyFont="1" applyFill="1" applyBorder="1" applyAlignment="1">
      <alignment horizontal="right"/>
    </xf>
    <xf numFmtId="37" fontId="17" fillId="2" borderId="0" xfId="0" applyNumberFormat="1" applyFont="1" applyFill="1" applyBorder="1" applyAlignment="1">
      <alignment horizontal="right"/>
    </xf>
    <xf numFmtId="0" fontId="27" fillId="0" borderId="0" xfId="0" applyFont="1" applyFill="1" applyBorder="1" applyAlignment="1">
      <alignment horizontal="left"/>
    </xf>
    <xf numFmtId="0" fontId="17" fillId="0" borderId="0" xfId="0" applyFont="1" applyFill="1" applyBorder="1" applyAlignment="1"/>
    <xf numFmtId="0" fontId="4" fillId="0" borderId="0" xfId="0" applyFont="1" applyFill="1" applyBorder="1" applyAlignment="1">
      <alignment horizontal="center" wrapText="1"/>
    </xf>
    <xf numFmtId="0" fontId="6" fillId="0" borderId="0" xfId="0" applyFont="1" applyAlignment="1">
      <alignment wrapText="1"/>
    </xf>
    <xf numFmtId="0" fontId="6" fillId="2" borderId="0" xfId="0" applyFont="1" applyFill="1"/>
    <xf numFmtId="0" fontId="6" fillId="0" borderId="3" xfId="0" applyFont="1" applyBorder="1"/>
    <xf numFmtId="10" fontId="6" fillId="0" borderId="0" xfId="5" applyNumberFormat="1" applyFont="1" applyFill="1"/>
    <xf numFmtId="164" fontId="0" fillId="0" borderId="0" xfId="1" applyNumberFormat="1" applyFont="1"/>
    <xf numFmtId="43" fontId="0" fillId="0" borderId="0" xfId="0" applyNumberFormat="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10" xfId="0" applyBorder="1"/>
    <xf numFmtId="164" fontId="0" fillId="0" borderId="0" xfId="1" applyNumberFormat="1" applyFont="1" applyFill="1"/>
    <xf numFmtId="173" fontId="0" fillId="0" borderId="0" xfId="5" applyNumberFormat="1" applyFont="1"/>
    <xf numFmtId="0" fontId="3" fillId="0" borderId="0" xfId="0" applyFont="1" applyAlignment="1">
      <alignment horizontal="left"/>
    </xf>
    <xf numFmtId="0" fontId="6" fillId="2" borderId="3" xfId="0" applyFont="1" applyFill="1" applyBorder="1"/>
    <xf numFmtId="3" fontId="4" fillId="0" borderId="1" xfId="0" applyNumberFormat="1" applyFont="1" applyFill="1" applyBorder="1" applyAlignment="1">
      <alignment horizontal="right"/>
    </xf>
    <xf numFmtId="3" fontId="4" fillId="0" borderId="1" xfId="0" applyNumberFormat="1" applyFont="1" applyBorder="1" applyAlignment="1"/>
    <xf numFmtId="3" fontId="4" fillId="2" borderId="1" xfId="0" applyNumberFormat="1" applyFont="1" applyFill="1" applyBorder="1" applyAlignment="1"/>
    <xf numFmtId="3" fontId="4" fillId="0" borderId="1" xfId="0" applyNumberFormat="1" applyFont="1" applyFill="1" applyBorder="1" applyAlignment="1"/>
    <xf numFmtId="3" fontId="17" fillId="2" borderId="0" xfId="0" applyNumberFormat="1" applyFont="1" applyFill="1" applyAlignment="1">
      <alignment horizontal="right"/>
    </xf>
    <xf numFmtId="164" fontId="4" fillId="0" borderId="0" xfId="1" applyNumberFormat="1" applyFont="1" applyFill="1" applyAlignment="1"/>
    <xf numFmtId="170" fontId="24" fillId="0" borderId="0" xfId="4" applyFont="1" applyFill="1" applyAlignment="1" applyProtection="1">
      <protection locked="0"/>
    </xf>
    <xf numFmtId="3" fontId="17" fillId="0" borderId="0" xfId="0" applyNumberFormat="1" applyFont="1" applyFill="1" applyAlignment="1">
      <alignment horizontal="right"/>
    </xf>
    <xf numFmtId="3" fontId="16" fillId="2" borderId="0" xfId="0" applyNumberFormat="1" applyFont="1" applyFill="1" applyAlignment="1">
      <alignment horizontal="right"/>
    </xf>
    <xf numFmtId="3" fontId="16" fillId="2" borderId="3" xfId="0" applyNumberFormat="1" applyFont="1" applyFill="1" applyBorder="1" applyAlignment="1">
      <alignment horizontal="right"/>
    </xf>
    <xf numFmtId="10" fontId="12" fillId="2" borderId="0" xfId="0" applyNumberFormat="1" applyFont="1" applyFill="1"/>
    <xf numFmtId="10" fontId="12" fillId="0" borderId="0" xfId="0" applyNumberFormat="1" applyFont="1" applyFill="1"/>
    <xf numFmtId="0" fontId="6" fillId="0" borderId="3" xfId="0" applyFont="1" applyFill="1" applyBorder="1" applyAlignment="1">
      <alignment horizontal="center"/>
    </xf>
    <xf numFmtId="0" fontId="24" fillId="0" borderId="0" xfId="0" applyFont="1" applyAlignment="1">
      <alignment vertical="center" wrapText="1"/>
    </xf>
    <xf numFmtId="0" fontId="35" fillId="0" borderId="0" xfId="0" applyFont="1" applyFill="1" applyBorder="1" applyAlignment="1">
      <alignment horizontal="center"/>
    </xf>
    <xf numFmtId="0" fontId="34" fillId="0" borderId="0" xfId="0" applyFont="1" applyBorder="1" applyAlignment="1">
      <alignment horizontal="center"/>
    </xf>
    <xf numFmtId="0" fontId="34" fillId="0" borderId="0" xfId="0" applyNumberFormat="1" applyFont="1" applyBorder="1" applyAlignment="1">
      <alignment horizontal="left"/>
    </xf>
    <xf numFmtId="0" fontId="37" fillId="0" borderId="0" xfId="0" applyNumberFormat="1" applyFont="1" applyFill="1" applyAlignment="1"/>
    <xf numFmtId="0" fontId="24" fillId="0" borderId="0" xfId="0" applyNumberFormat="1" applyFont="1" applyAlignment="1">
      <alignment horizontal="center"/>
    </xf>
    <xf numFmtId="0" fontId="24" fillId="0" borderId="0" xfId="0" applyFont="1" applyFill="1" applyBorder="1"/>
    <xf numFmtId="0" fontId="24" fillId="0" borderId="0" xfId="0" applyFont="1" applyBorder="1" applyAlignment="1">
      <alignment horizontal="center"/>
    </xf>
    <xf numFmtId="0" fontId="24" fillId="0" borderId="1" xfId="0" applyNumberFormat="1" applyFont="1" applyBorder="1" applyAlignment="1"/>
    <xf numFmtId="3" fontId="24" fillId="0" borderId="1" xfId="0" applyNumberFormat="1" applyFont="1" applyBorder="1" applyAlignment="1"/>
    <xf numFmtId="3" fontId="24" fillId="0" borderId="1" xfId="0" applyNumberFormat="1" applyFont="1" applyBorder="1" applyAlignment="1">
      <alignment horizontal="center"/>
    </xf>
    <xf numFmtId="0" fontId="37" fillId="0" borderId="2" xfId="0" applyNumberFormat="1" applyFont="1" applyFill="1" applyBorder="1" applyAlignment="1"/>
    <xf numFmtId="0" fontId="24" fillId="0" borderId="2" xfId="0" applyFont="1" applyFill="1" applyBorder="1" applyAlignment="1"/>
    <xf numFmtId="3" fontId="24" fillId="0" borderId="2" xfId="0" applyNumberFormat="1" applyFont="1" applyFill="1" applyBorder="1" applyAlignment="1">
      <alignment horizontal="center"/>
    </xf>
    <xf numFmtId="3" fontId="24" fillId="0" borderId="0" xfId="0" applyNumberFormat="1" applyFont="1" applyFill="1" applyAlignment="1">
      <alignment horizontal="center"/>
    </xf>
    <xf numFmtId="0" fontId="38" fillId="0" borderId="0" xfId="0" applyFont="1" applyFill="1" applyBorder="1" applyAlignment="1">
      <alignment horizontal="center"/>
    </xf>
    <xf numFmtId="0" fontId="24" fillId="0" borderId="0" xfId="0" applyFont="1" applyFill="1" applyBorder="1" applyAlignment="1"/>
    <xf numFmtId="0" fontId="39" fillId="3" borderId="0" xfId="0" applyFont="1" applyFill="1" applyBorder="1" applyAlignment="1"/>
    <xf numFmtId="0" fontId="24" fillId="3" borderId="0" xfId="0" applyFont="1" applyFill="1" applyBorder="1" applyAlignment="1"/>
    <xf numFmtId="0" fontId="37" fillId="3" borderId="0" xfId="0" applyNumberFormat="1" applyFont="1" applyFill="1" applyBorder="1" applyAlignment="1">
      <alignment horizontal="center"/>
    </xf>
    <xf numFmtId="0" fontId="39" fillId="0" borderId="0" xfId="0" applyFont="1" applyFill="1" applyBorder="1" applyAlignment="1"/>
    <xf numFmtId="0" fontId="37" fillId="0" borderId="0" xfId="0" applyNumberFormat="1" applyFont="1" applyFill="1" applyBorder="1" applyAlignment="1">
      <alignment horizontal="center"/>
    </xf>
    <xf numFmtId="3" fontId="24" fillId="0" borderId="0" xfId="0" applyNumberFormat="1" applyFont="1" applyBorder="1" applyAlignment="1"/>
    <xf numFmtId="0" fontId="24" fillId="0" borderId="0" xfId="0" applyNumberFormat="1" applyFont="1" applyBorder="1" applyAlignment="1"/>
    <xf numFmtId="3" fontId="24" fillId="0" borderId="0" xfId="0" applyNumberFormat="1" applyFont="1" applyBorder="1" applyAlignment="1">
      <alignment horizontal="center"/>
    </xf>
    <xf numFmtId="0" fontId="37" fillId="0" borderId="0" xfId="0" applyNumberFormat="1" applyFont="1" applyFill="1" applyBorder="1" applyAlignment="1">
      <alignment horizontal="left"/>
    </xf>
    <xf numFmtId="3" fontId="24" fillId="0" borderId="0" xfId="0" applyNumberFormat="1" applyFont="1" applyFill="1" applyBorder="1" applyAlignment="1"/>
    <xf numFmtId="0" fontId="24" fillId="0" borderId="0" xfId="0" applyNumberFormat="1" applyFont="1" applyFill="1" applyBorder="1" applyAlignment="1"/>
    <xf numFmtId="0" fontId="38" fillId="0" borderId="0" xfId="0" applyFont="1" applyFill="1" applyBorder="1"/>
    <xf numFmtId="3" fontId="38" fillId="0" borderId="0" xfId="0" applyNumberFormat="1" applyFont="1" applyFill="1" applyBorder="1" applyAlignment="1">
      <alignment horizontal="center"/>
    </xf>
    <xf numFmtId="0" fontId="24" fillId="0" borderId="0" xfId="0" applyFont="1" applyFill="1" applyBorder="1" applyAlignment="1">
      <alignment horizontal="left"/>
    </xf>
    <xf numFmtId="0" fontId="24" fillId="0" borderId="0" xfId="0" applyNumberFormat="1" applyFont="1" applyBorder="1" applyAlignment="1">
      <alignment horizontal="center"/>
    </xf>
    <xf numFmtId="0" fontId="37" fillId="0" borderId="0" xfId="0" applyFont="1" applyBorder="1" applyAlignment="1">
      <alignment horizontal="left"/>
    </xf>
    <xf numFmtId="0" fontId="24" fillId="0" borderId="0" xfId="0" applyNumberFormat="1" applyFont="1" applyFill="1" applyBorder="1" applyAlignment="1">
      <alignment horizontal="left"/>
    </xf>
    <xf numFmtId="0" fontId="24" fillId="0" borderId="0" xfId="0" applyNumberFormat="1" applyFont="1" applyBorder="1" applyAlignment="1">
      <alignment horizontal="left"/>
    </xf>
    <xf numFmtId="3" fontId="37" fillId="0" borderId="0" xfId="0" applyNumberFormat="1" applyFont="1" applyBorder="1" applyAlignment="1"/>
    <xf numFmtId="3" fontId="37" fillId="0" borderId="0" xfId="0" applyNumberFormat="1" applyFont="1" applyFill="1" applyBorder="1" applyAlignment="1"/>
    <xf numFmtId="0" fontId="24" fillId="0" borderId="0" xfId="0" applyFont="1" applyFill="1" applyBorder="1" applyAlignment="1">
      <alignment horizontal="center"/>
    </xf>
    <xf numFmtId="0" fontId="37" fillId="0" borderId="0" xfId="0" applyNumberFormat="1" applyFont="1" applyBorder="1" applyAlignment="1"/>
    <xf numFmtId="0" fontId="37" fillId="0" borderId="0" xfId="0" applyFont="1" applyBorder="1" applyAlignment="1"/>
    <xf numFmtId="0" fontId="37" fillId="0" borderId="0" xfId="0" applyFont="1" applyBorder="1" applyAlignment="1">
      <alignment horizontal="center"/>
    </xf>
    <xf numFmtId="168" fontId="37" fillId="0" borderId="0" xfId="0" applyNumberFormat="1" applyFont="1" applyBorder="1" applyAlignment="1">
      <alignment horizontal="left"/>
    </xf>
    <xf numFmtId="0" fontId="24" fillId="0" borderId="0" xfId="0" applyFont="1" applyBorder="1"/>
    <xf numFmtId="168" fontId="24" fillId="0" borderId="0" xfId="0" applyNumberFormat="1" applyFont="1" applyBorder="1" applyAlignment="1">
      <alignment horizontal="left"/>
    </xf>
    <xf numFmtId="0" fontId="43" fillId="0" borderId="5" xfId="0" applyNumberFormat="1" applyFont="1" applyBorder="1" applyAlignment="1">
      <alignment horizontal="center"/>
    </xf>
    <xf numFmtId="0" fontId="43" fillId="0" borderId="0" xfId="0" applyNumberFormat="1" applyFont="1" applyBorder="1" applyAlignment="1">
      <alignment horizontal="center"/>
    </xf>
    <xf numFmtId="0" fontId="37" fillId="0" borderId="0" xfId="0" applyNumberFormat="1" applyFont="1" applyBorder="1" applyAlignment="1">
      <alignment horizontal="left"/>
    </xf>
    <xf numFmtId="0" fontId="43" fillId="0" borderId="0" xfId="0" applyNumberFormat="1" applyFont="1" applyFill="1" applyBorder="1" applyAlignment="1"/>
    <xf numFmtId="0" fontId="43" fillId="0" borderId="0" xfId="0" applyFont="1" applyFill="1" applyBorder="1" applyAlignment="1"/>
    <xf numFmtId="3" fontId="43" fillId="0" borderId="0" xfId="0" applyNumberFormat="1" applyFont="1" applyBorder="1" applyAlignment="1">
      <alignment horizontal="center"/>
    </xf>
    <xf numFmtId="0" fontId="24" fillId="0" borderId="0" xfId="0" applyNumberFormat="1" applyFont="1" applyFill="1" applyBorder="1" applyAlignment="1">
      <alignment horizontal="center"/>
    </xf>
    <xf numFmtId="3" fontId="43" fillId="0" borderId="0" xfId="0" applyNumberFormat="1" applyFont="1" applyFill="1" applyBorder="1" applyAlignment="1">
      <alignment horizontal="center"/>
    </xf>
    <xf numFmtId="0" fontId="37" fillId="0" borderId="0" xfId="0" applyNumberFormat="1" applyFont="1" applyFill="1" applyBorder="1" applyAlignment="1"/>
    <xf numFmtId="0" fontId="43" fillId="0" borderId="4" xfId="0" applyNumberFormat="1" applyFont="1" applyBorder="1" applyAlignment="1">
      <alignment horizontal="left"/>
    </xf>
    <xf numFmtId="0" fontId="37" fillId="0" borderId="0" xfId="0" applyFont="1" applyFill="1" applyBorder="1"/>
    <xf numFmtId="0" fontId="38" fillId="0" borderId="0" xfId="0" applyFont="1" applyBorder="1" applyAlignment="1">
      <alignment horizontal="center"/>
    </xf>
    <xf numFmtId="0" fontId="25" fillId="2" borderId="0" xfId="0" applyFont="1" applyFill="1" applyBorder="1" applyAlignment="1">
      <alignment horizontal="center"/>
    </xf>
    <xf numFmtId="0" fontId="43" fillId="0" borderId="4" xfId="0" applyNumberFormat="1" applyFont="1" applyBorder="1" applyAlignment="1">
      <alignment horizontal="center"/>
    </xf>
    <xf numFmtId="0" fontId="37" fillId="0" borderId="6" xfId="0" applyNumberFormat="1" applyFont="1" applyFill="1" applyBorder="1" applyAlignment="1">
      <alignment horizontal="center"/>
    </xf>
    <xf numFmtId="3" fontId="24" fillId="0" borderId="7" xfId="0" applyNumberFormat="1" applyFont="1" applyBorder="1" applyAlignment="1"/>
    <xf numFmtId="0" fontId="24" fillId="0" borderId="6" xfId="0" applyNumberFormat="1" applyFont="1" applyBorder="1" applyAlignment="1">
      <alignment horizontal="center"/>
    </xf>
    <xf numFmtId="0" fontId="38" fillId="0" borderId="0" xfId="0" applyFont="1" applyFill="1" applyBorder="1" applyAlignment="1">
      <alignment horizontal="left"/>
    </xf>
    <xf numFmtId="0" fontId="24" fillId="0" borderId="6" xfId="0" applyFont="1" applyBorder="1" applyAlignment="1">
      <alignment horizontal="center"/>
    </xf>
    <xf numFmtId="0" fontId="24" fillId="0" borderId="7" xfId="0" applyFont="1" applyBorder="1"/>
    <xf numFmtId="0" fontId="24" fillId="0" borderId="7" xfId="0" applyFont="1" applyFill="1" applyBorder="1"/>
    <xf numFmtId="3" fontId="24" fillId="0" borderId="11" xfId="0" applyNumberFormat="1" applyFont="1" applyBorder="1" applyAlignment="1"/>
    <xf numFmtId="0" fontId="24" fillId="0" borderId="7" xfId="0" applyFont="1" applyBorder="1" applyAlignment="1"/>
    <xf numFmtId="3" fontId="24" fillId="0" borderId="12" xfId="0" applyNumberFormat="1" applyFont="1" applyBorder="1" applyAlignment="1"/>
    <xf numFmtId="3" fontId="24" fillId="0" borderId="0" xfId="0" applyNumberFormat="1" applyFont="1" applyFill="1" applyBorder="1" applyAlignment="1">
      <alignment horizontal="center"/>
    </xf>
    <xf numFmtId="0" fontId="24" fillId="0" borderId="6" xfId="0" applyNumberFormat="1" applyFont="1" applyFill="1" applyBorder="1" applyAlignment="1">
      <alignment horizontal="center"/>
    </xf>
    <xf numFmtId="3" fontId="24" fillId="0" borderId="7" xfId="0" applyNumberFormat="1" applyFont="1" applyFill="1" applyBorder="1" applyAlignment="1"/>
    <xf numFmtId="0" fontId="24" fillId="0" borderId="6" xfId="0" applyNumberFormat="1" applyFont="1" applyBorder="1" applyAlignment="1">
      <alignment horizontal="left"/>
    </xf>
    <xf numFmtId="0" fontId="39" fillId="3" borderId="6" xfId="0" applyFont="1" applyFill="1" applyBorder="1" applyAlignment="1">
      <alignment horizontal="left"/>
    </xf>
    <xf numFmtId="0" fontId="24" fillId="3" borderId="7" xfId="0" applyFont="1" applyFill="1" applyBorder="1"/>
    <xf numFmtId="0" fontId="40" fillId="0" borderId="6" xfId="0" applyFont="1" applyFill="1" applyBorder="1" applyAlignment="1">
      <alignment horizontal="center"/>
    </xf>
    <xf numFmtId="0" fontId="24" fillId="0" borderId="6" xfId="0" applyFont="1" applyFill="1" applyBorder="1" applyAlignment="1">
      <alignment horizontal="center"/>
    </xf>
    <xf numFmtId="0" fontId="24" fillId="0" borderId="0" xfId="0" applyFont="1" applyFill="1" applyBorder="1" applyAlignment="1">
      <alignment horizontal="right"/>
    </xf>
    <xf numFmtId="0" fontId="24" fillId="0" borderId="7" xfId="0" applyFont="1" applyFill="1" applyBorder="1" applyAlignment="1">
      <alignment horizontal="left"/>
    </xf>
    <xf numFmtId="0" fontId="25" fillId="0" borderId="0" xfId="0" applyFont="1" applyFill="1" applyBorder="1"/>
    <xf numFmtId="3" fontId="41" fillId="0" borderId="0" xfId="0" applyNumberFormat="1" applyFont="1" applyFill="1" applyBorder="1" applyAlignment="1">
      <alignment horizontal="center"/>
    </xf>
    <xf numFmtId="0" fontId="24" fillId="5" borderId="6" xfId="0" applyNumberFormat="1" applyFont="1" applyFill="1" applyBorder="1" applyAlignment="1">
      <alignment horizontal="center"/>
    </xf>
    <xf numFmtId="3" fontId="38" fillId="0" borderId="7" xfId="0" applyNumberFormat="1" applyFont="1" applyBorder="1" applyAlignment="1">
      <alignment horizontal="right"/>
    </xf>
    <xf numFmtId="0" fontId="42" fillId="0" borderId="0" xfId="0" applyNumberFormat="1" applyFont="1" applyFill="1" applyBorder="1" applyAlignment="1">
      <alignment horizontal="left"/>
    </xf>
    <xf numFmtId="0" fontId="24" fillId="0" borderId="7" xfId="0" applyNumberFormat="1" applyFont="1" applyBorder="1" applyAlignment="1">
      <alignment horizontal="left"/>
    </xf>
    <xf numFmtId="0" fontId="24" fillId="0" borderId="0" xfId="0" applyNumberFormat="1" applyFont="1" applyFill="1" applyBorder="1" applyAlignment="1">
      <alignment horizontal="right"/>
    </xf>
    <xf numFmtId="0" fontId="41" fillId="0" borderId="0" xfId="0" applyFont="1" applyFill="1" applyBorder="1" applyAlignment="1">
      <alignment horizontal="center"/>
    </xf>
    <xf numFmtId="3" fontId="38" fillId="0" borderId="7" xfId="0" applyNumberFormat="1" applyFont="1" applyFill="1" applyBorder="1" applyAlignment="1">
      <alignment horizontal="right"/>
    </xf>
    <xf numFmtId="0" fontId="24" fillId="0" borderId="7" xfId="0" applyNumberFormat="1" applyFont="1" applyFill="1" applyBorder="1" applyAlignment="1">
      <alignment horizontal="left"/>
    </xf>
    <xf numFmtId="0" fontId="24" fillId="0" borderId="0" xfId="0" applyFont="1" applyBorder="1" applyAlignment="1">
      <alignment horizontal="left"/>
    </xf>
    <xf numFmtId="0" fontId="37" fillId="0" borderId="0" xfId="0" applyNumberFormat="1" applyFont="1" applyFill="1" applyBorder="1" applyAlignment="1">
      <alignment horizontal="right"/>
    </xf>
    <xf numFmtId="0" fontId="37" fillId="0" borderId="6" xfId="0" applyFont="1" applyBorder="1"/>
    <xf numFmtId="0" fontId="37" fillId="0" borderId="0" xfId="0" applyFont="1" applyBorder="1"/>
    <xf numFmtId="3" fontId="38" fillId="0" borderId="0" xfId="0" applyNumberFormat="1" applyFont="1" applyBorder="1" applyAlignment="1">
      <alignment horizontal="center"/>
    </xf>
    <xf numFmtId="0" fontId="37" fillId="3" borderId="0" xfId="0" applyNumberFormat="1" applyFont="1" applyFill="1" applyBorder="1" applyAlignment="1">
      <alignment horizontal="left"/>
    </xf>
    <xf numFmtId="0" fontId="24" fillId="0" borderId="7" xfId="0" applyFont="1" applyFill="1" applyBorder="1" applyAlignment="1"/>
    <xf numFmtId="0" fontId="24" fillId="0" borderId="7" xfId="0" applyNumberFormat="1" applyFont="1" applyFill="1" applyBorder="1" applyAlignment="1"/>
    <xf numFmtId="0" fontId="24" fillId="0" borderId="7" xfId="0" applyFont="1" applyBorder="1" applyAlignment="1">
      <alignment horizontal="right"/>
    </xf>
    <xf numFmtId="0" fontId="24" fillId="0" borderId="0" xfId="0" applyNumberFormat="1" applyFont="1" applyBorder="1" applyAlignment="1">
      <alignment horizontal="right"/>
    </xf>
    <xf numFmtId="0" fontId="38" fillId="0" borderId="0" xfId="0" applyNumberFormat="1" applyFont="1" applyFill="1" applyBorder="1" applyAlignment="1">
      <alignment horizontal="center"/>
    </xf>
    <xf numFmtId="0" fontId="24" fillId="0" borderId="7" xfId="0" applyNumberFormat="1" applyFont="1" applyBorder="1" applyAlignment="1"/>
    <xf numFmtId="3" fontId="24" fillId="0" borderId="0" xfId="0" applyNumberFormat="1" applyFont="1" applyBorder="1" applyAlignment="1">
      <alignment horizontal="left"/>
    </xf>
    <xf numFmtId="0" fontId="24" fillId="0" borderId="0" xfId="0" applyNumberFormat="1" applyFont="1" applyFill="1" applyBorder="1"/>
    <xf numFmtId="170" fontId="24" fillId="0" borderId="0" xfId="0" applyNumberFormat="1" applyFont="1" applyBorder="1" applyAlignment="1"/>
    <xf numFmtId="0" fontId="43" fillId="0" borderId="6" xfId="0" applyNumberFormat="1" applyFont="1" applyBorder="1" applyAlignment="1">
      <alignment horizontal="center"/>
    </xf>
    <xf numFmtId="3" fontId="37" fillId="0" borderId="7" xfId="0" applyNumberFormat="1" applyFont="1" applyBorder="1" applyAlignment="1"/>
    <xf numFmtId="0" fontId="45" fillId="0" borderId="6" xfId="0" applyFont="1" applyBorder="1" applyAlignment="1">
      <alignment horizontal="left"/>
    </xf>
    <xf numFmtId="0" fontId="24" fillId="5" borderId="7" xfId="0" applyFont="1" applyFill="1" applyBorder="1" applyAlignment="1"/>
    <xf numFmtId="0" fontId="46" fillId="2" borderId="0" xfId="0" applyFont="1" applyFill="1" applyBorder="1" applyAlignment="1"/>
    <xf numFmtId="0" fontId="43" fillId="0" borderId="13" xfId="0" applyNumberFormat="1" applyFont="1" applyBorder="1" applyAlignment="1">
      <alignment horizontal="center"/>
    </xf>
    <xf numFmtId="0" fontId="38" fillId="0" borderId="0" xfId="0" applyFont="1" applyFill="1" applyBorder="1" applyAlignment="1"/>
    <xf numFmtId="3" fontId="38" fillId="0" borderId="0" xfId="0" applyNumberFormat="1" applyFont="1" applyBorder="1" applyAlignment="1">
      <alignment horizontal="right"/>
    </xf>
    <xf numFmtId="3" fontId="38" fillId="0" borderId="0" xfId="0" applyNumberFormat="1" applyFont="1" applyFill="1" applyBorder="1" applyAlignment="1">
      <alignment horizontal="right"/>
    </xf>
    <xf numFmtId="0" fontId="37" fillId="0" borderId="0" xfId="0" applyNumberFormat="1" applyFont="1" applyBorder="1" applyAlignment="1">
      <alignment horizontal="center"/>
    </xf>
    <xf numFmtId="0" fontId="38" fillId="0" borderId="0" xfId="0" applyNumberFormat="1" applyFont="1" applyBorder="1" applyAlignment="1">
      <alignment horizontal="center"/>
    </xf>
    <xf numFmtId="165" fontId="24" fillId="0" borderId="0" xfId="3" applyFont="1" applyBorder="1" applyAlignment="1">
      <alignment vertical="center"/>
    </xf>
    <xf numFmtId="3" fontId="37" fillId="0" borderId="0" xfId="0" applyNumberFormat="1" applyFont="1" applyBorder="1" applyAlignment="1">
      <alignment horizontal="center"/>
    </xf>
    <xf numFmtId="0" fontId="37" fillId="0" borderId="0" xfId="0" applyFont="1" applyFill="1" applyBorder="1" applyAlignment="1"/>
    <xf numFmtId="0" fontId="44" fillId="0" borderId="0" xfId="0" applyNumberFormat="1" applyFont="1" applyBorder="1" applyAlignment="1">
      <alignment horizontal="center"/>
    </xf>
    <xf numFmtId="0" fontId="43" fillId="0" borderId="0" xfId="0" applyNumberFormat="1" applyFont="1" applyBorder="1" applyAlignment="1">
      <alignment horizontal="left"/>
    </xf>
    <xf numFmtId="0" fontId="43" fillId="0" borderId="0" xfId="0" applyFont="1" applyFill="1" applyBorder="1"/>
    <xf numFmtId="0" fontId="43" fillId="0" borderId="0" xfId="0" applyFont="1" applyBorder="1" applyAlignment="1">
      <alignment horizontal="center"/>
    </xf>
    <xf numFmtId="3" fontId="43" fillId="0" borderId="7" xfId="0" applyNumberFormat="1" applyFont="1" applyBorder="1" applyAlignment="1"/>
    <xf numFmtId="0" fontId="24" fillId="0" borderId="8" xfId="0" applyNumberFormat="1" applyFont="1" applyFill="1" applyBorder="1" applyAlignment="1">
      <alignment horizontal="center"/>
    </xf>
    <xf numFmtId="0" fontId="24" fillId="0" borderId="9" xfId="0" applyNumberFormat="1" applyFont="1" applyBorder="1" applyAlignment="1">
      <alignment horizontal="center"/>
    </xf>
    <xf numFmtId="0" fontId="24" fillId="0" borderId="9" xfId="0" applyFont="1" applyBorder="1" applyAlignment="1"/>
    <xf numFmtId="0" fontId="38" fillId="0" borderId="9" xfId="0" applyFont="1" applyBorder="1" applyAlignment="1">
      <alignment horizontal="center"/>
    </xf>
    <xf numFmtId="0" fontId="24" fillId="0" borderId="10" xfId="0" applyFont="1" applyFill="1" applyBorder="1"/>
    <xf numFmtId="0" fontId="24" fillId="0" borderId="9" xfId="0" applyNumberFormat="1" applyFont="1" applyFill="1" applyBorder="1" applyAlignment="1">
      <alignment horizontal="center"/>
    </xf>
    <xf numFmtId="0" fontId="24" fillId="0" borderId="9" xfId="0" applyNumberFormat="1" applyFont="1" applyFill="1" applyBorder="1" applyAlignment="1"/>
    <xf numFmtId="0" fontId="24" fillId="0" borderId="9" xfId="0" applyFont="1" applyFill="1" applyBorder="1" applyAlignment="1"/>
    <xf numFmtId="3" fontId="38" fillId="0" borderId="9" xfId="0" applyNumberFormat="1" applyFont="1" applyBorder="1" applyAlignment="1">
      <alignment horizontal="center"/>
    </xf>
    <xf numFmtId="3" fontId="24" fillId="0" borderId="9" xfId="0" applyNumberFormat="1" applyFont="1" applyBorder="1" applyAlignment="1"/>
    <xf numFmtId="0" fontId="48" fillId="0" borderId="0" xfId="0" applyFont="1" applyFill="1" applyBorder="1" applyAlignment="1">
      <alignment horizontal="left"/>
    </xf>
    <xf numFmtId="0" fontId="24" fillId="0" borderId="9" xfId="0" applyNumberFormat="1" applyFont="1" applyFill="1" applyBorder="1" applyAlignment="1">
      <alignment horizontal="right"/>
    </xf>
    <xf numFmtId="0" fontId="24" fillId="0" borderId="9" xfId="0" applyNumberFormat="1" applyFont="1" applyFill="1" applyBorder="1" applyAlignment="1">
      <alignment horizontal="left"/>
    </xf>
    <xf numFmtId="0" fontId="38" fillId="0" borderId="9" xfId="0" applyNumberFormat="1" applyFont="1" applyFill="1" applyBorder="1" applyAlignment="1">
      <alignment horizontal="center"/>
    </xf>
    <xf numFmtId="0" fontId="24" fillId="0" borderId="10" xfId="0" applyNumberFormat="1" applyFont="1" applyFill="1" applyBorder="1" applyAlignment="1">
      <alignment horizontal="left"/>
    </xf>
    <xf numFmtId="0" fontId="24" fillId="0" borderId="9" xfId="0" applyNumberFormat="1" applyFont="1" applyBorder="1" applyAlignment="1"/>
    <xf numFmtId="0" fontId="38" fillId="0" borderId="9" xfId="0" applyFont="1" applyFill="1" applyBorder="1" applyAlignment="1">
      <alignment horizontal="center"/>
    </xf>
    <xf numFmtId="3" fontId="24" fillId="0" borderId="10" xfId="0" applyNumberFormat="1" applyFont="1" applyFill="1" applyBorder="1" applyAlignment="1"/>
    <xf numFmtId="0" fontId="24" fillId="0" borderId="9" xfId="0" applyFont="1" applyBorder="1"/>
    <xf numFmtId="3" fontId="38" fillId="0" borderId="9" xfId="0" applyNumberFormat="1" applyFont="1" applyFill="1" applyBorder="1" applyAlignment="1">
      <alignment horizontal="center"/>
    </xf>
    <xf numFmtId="3" fontId="24" fillId="0" borderId="9" xfId="0" applyNumberFormat="1" applyFont="1" applyFill="1" applyBorder="1" applyAlignment="1"/>
    <xf numFmtId="0" fontId="24" fillId="0" borderId="10" xfId="0" applyNumberFormat="1" applyFont="1" applyFill="1" applyBorder="1" applyAlignment="1"/>
    <xf numFmtId="0" fontId="24" fillId="0" borderId="8" xfId="0" applyNumberFormat="1" applyFont="1" applyBorder="1" applyAlignment="1">
      <alignment horizontal="center"/>
    </xf>
    <xf numFmtId="0" fontId="24" fillId="0" borderId="9" xfId="0" applyNumberFormat="1" applyFont="1" applyFill="1" applyBorder="1"/>
    <xf numFmtId="170" fontId="24" fillId="0" borderId="9" xfId="0" applyNumberFormat="1" applyFont="1" applyBorder="1" applyAlignment="1"/>
    <xf numFmtId="0" fontId="38" fillId="0" borderId="9" xfId="0" applyFont="1" applyFill="1" applyBorder="1" applyAlignment="1"/>
    <xf numFmtId="0" fontId="24" fillId="0" borderId="7" xfId="0" applyNumberFormat="1" applyFont="1" applyFill="1" applyBorder="1" applyAlignment="1">
      <alignment horizontal="center"/>
    </xf>
    <xf numFmtId="0" fontId="24" fillId="0" borderId="10" xfId="0" applyNumberFormat="1" applyFont="1" applyFill="1" applyBorder="1" applyAlignment="1">
      <alignment horizontal="center"/>
    </xf>
    <xf numFmtId="0" fontId="31" fillId="0" borderId="7" xfId="0" applyFont="1" applyBorder="1"/>
    <xf numFmtId="0" fontId="31" fillId="0" borderId="9" xfId="0" applyFont="1" applyBorder="1"/>
    <xf numFmtId="0" fontId="31" fillId="0" borderId="6" xfId="0" applyFont="1" applyBorder="1"/>
    <xf numFmtId="0" fontId="31" fillId="0" borderId="0" xfId="0" applyFont="1" applyFill="1" applyBorder="1" applyAlignment="1">
      <alignment horizontal="center" wrapText="1"/>
    </xf>
    <xf numFmtId="0" fontId="34" fillId="0" borderId="6" xfId="0" applyFont="1" applyBorder="1" applyAlignment="1">
      <alignment horizontal="center"/>
    </xf>
    <xf numFmtId="0" fontId="34" fillId="0" borderId="6" xfId="0" applyFont="1" applyBorder="1"/>
    <xf numFmtId="0" fontId="34" fillId="0" borderId="0" xfId="0" applyFont="1" applyFill="1" applyBorder="1" applyAlignment="1">
      <alignment horizontal="center" wrapText="1"/>
    </xf>
    <xf numFmtId="0" fontId="31" fillId="0" borderId="8" xfId="0" applyFont="1" applyBorder="1"/>
    <xf numFmtId="0" fontId="31" fillId="0" borderId="10" xfId="0" applyFont="1" applyBorder="1"/>
    <xf numFmtId="0" fontId="34" fillId="0" borderId="8" xfId="0" applyFont="1" applyBorder="1" applyAlignment="1">
      <alignment horizontal="center"/>
    </xf>
    <xf numFmtId="0" fontId="49" fillId="0" borderId="0" xfId="0" applyFont="1"/>
    <xf numFmtId="0" fontId="30" fillId="6" borderId="14" xfId="0" applyFont="1" applyFill="1" applyBorder="1" applyAlignment="1">
      <alignment horizontal="center" wrapText="1"/>
    </xf>
    <xf numFmtId="0" fontId="30" fillId="6" borderId="15" xfId="0" applyFont="1" applyFill="1" applyBorder="1" applyAlignment="1">
      <alignment horizontal="center" wrapText="1"/>
    </xf>
    <xf numFmtId="0" fontId="34" fillId="0" borderId="10" xfId="0" applyFont="1" applyBorder="1" applyAlignment="1">
      <alignment horizontal="center"/>
    </xf>
    <xf numFmtId="0" fontId="30" fillId="6" borderId="16" xfId="0" applyFont="1" applyFill="1" applyBorder="1" applyAlignment="1">
      <alignment horizontal="center" wrapText="1"/>
    </xf>
    <xf numFmtId="0" fontId="34" fillId="0" borderId="9" xfId="0" applyFont="1" applyBorder="1" applyAlignment="1">
      <alignment horizontal="center"/>
    </xf>
    <xf numFmtId="0" fontId="30" fillId="0" borderId="9" xfId="0" applyFont="1" applyBorder="1"/>
    <xf numFmtId="0" fontId="50" fillId="0" borderId="0" xfId="0" applyFont="1" applyAlignment="1">
      <alignment horizontal="center"/>
    </xf>
    <xf numFmtId="0" fontId="36" fillId="6" borderId="14" xfId="0" applyFont="1" applyFill="1" applyBorder="1" applyAlignment="1">
      <alignment horizontal="center"/>
    </xf>
    <xf numFmtId="0" fontId="36" fillId="6" borderId="15" xfId="0" applyFont="1" applyFill="1" applyBorder="1" applyAlignment="1">
      <alignment horizontal="center"/>
    </xf>
    <xf numFmtId="0" fontId="31" fillId="0" borderId="0" xfId="0" applyFont="1" applyBorder="1" applyAlignment="1"/>
    <xf numFmtId="0" fontId="31" fillId="0" borderId="7" xfId="0" applyFont="1" applyBorder="1" applyAlignment="1"/>
    <xf numFmtId="0" fontId="31" fillId="0" borderId="0" xfId="0" applyFont="1" applyFill="1" applyBorder="1" applyAlignment="1">
      <alignment horizontal="center"/>
    </xf>
    <xf numFmtId="0" fontId="31" fillId="0" borderId="7" xfId="0" applyFont="1" applyFill="1" applyBorder="1" applyAlignment="1">
      <alignment horizontal="center"/>
    </xf>
    <xf numFmtId="0" fontId="31" fillId="0" borderId="9" xfId="0" applyFont="1" applyBorder="1" applyAlignment="1"/>
    <xf numFmtId="0" fontId="31" fillId="0" borderId="10" xfId="0" applyFont="1" applyBorder="1" applyAlignment="1"/>
    <xf numFmtId="0" fontId="9" fillId="6" borderId="14" xfId="0" applyFont="1" applyFill="1" applyBorder="1" applyAlignment="1">
      <alignment horizontal="center"/>
    </xf>
    <xf numFmtId="2" fontId="24" fillId="0" borderId="0" xfId="0" applyNumberFormat="1" applyFont="1" applyFill="1" applyBorder="1" applyAlignment="1">
      <alignment horizontal="center"/>
    </xf>
    <xf numFmtId="0" fontId="37" fillId="0" borderId="0" xfId="0" applyFont="1" applyFill="1" applyBorder="1" applyAlignment="1">
      <alignment horizontal="center"/>
    </xf>
    <xf numFmtId="2" fontId="37" fillId="0" borderId="6" xfId="0" applyNumberFormat="1" applyFont="1" applyFill="1" applyBorder="1" applyAlignment="1">
      <alignment horizontal="center"/>
    </xf>
    <xf numFmtId="0" fontId="34" fillId="0" borderId="0" xfId="0" applyFont="1" applyBorder="1"/>
    <xf numFmtId="0" fontId="34" fillId="0" borderId="7" xfId="0" applyFont="1" applyBorder="1" applyAlignment="1">
      <alignment horizontal="center"/>
    </xf>
    <xf numFmtId="3" fontId="4" fillId="0" borderId="0" xfId="0" applyNumberFormat="1" applyFont="1" applyAlignment="1">
      <alignment horizontal="left"/>
    </xf>
    <xf numFmtId="0" fontId="25" fillId="0" borderId="0" xfId="0" applyFont="1" applyFill="1" applyBorder="1" applyAlignment="1">
      <alignment horizontal="center"/>
    </xf>
    <xf numFmtId="37" fontId="24" fillId="0" borderId="0" xfId="0" applyNumberFormat="1" applyFont="1" applyFill="1" applyBorder="1" applyAlignment="1">
      <alignment horizontal="left"/>
    </xf>
    <xf numFmtId="0" fontId="51" fillId="0" borderId="0" xfId="0" applyFont="1" applyFill="1" applyAlignment="1"/>
    <xf numFmtId="0" fontId="19" fillId="0" borderId="0" xfId="0" applyFont="1" applyFill="1" applyBorder="1" applyAlignment="1">
      <alignment horizontal="center"/>
    </xf>
    <xf numFmtId="0" fontId="6" fillId="0" borderId="3" xfId="0" applyFont="1" applyFill="1" applyBorder="1"/>
    <xf numFmtId="0" fontId="6" fillId="4" borderId="0" xfId="0" applyNumberFormat="1" applyFont="1" applyFill="1" applyAlignment="1">
      <alignment horizontal="center"/>
    </xf>
    <xf numFmtId="0" fontId="34" fillId="3" borderId="0" xfId="0" applyFont="1" applyFill="1" applyBorder="1" applyAlignment="1">
      <alignment horizontal="center"/>
    </xf>
    <xf numFmtId="0" fontId="31" fillId="3" borderId="0" xfId="0" applyFont="1" applyFill="1" applyBorder="1"/>
    <xf numFmtId="0" fontId="31" fillId="3" borderId="7" xfId="0" applyFont="1" applyFill="1" applyBorder="1"/>
    <xf numFmtId="0" fontId="9" fillId="0" borderId="0" xfId="0" applyFont="1"/>
    <xf numFmtId="0" fontId="31" fillId="0" borderId="16" xfId="0" applyFont="1" applyBorder="1"/>
    <xf numFmtId="0" fontId="31" fillId="0" borderId="14" xfId="0" applyFont="1" applyBorder="1" applyAlignment="1">
      <alignment horizontal="center"/>
    </xf>
    <xf numFmtId="0" fontId="34" fillId="0" borderId="16" xfId="0" applyFont="1" applyBorder="1" applyAlignment="1">
      <alignment horizontal="center"/>
    </xf>
    <xf numFmtId="0" fontId="34" fillId="0" borderId="14" xfId="0" applyFont="1" applyBorder="1" applyAlignment="1">
      <alignment horizontal="center"/>
    </xf>
    <xf numFmtId="164" fontId="34" fillId="0" borderId="15" xfId="1" applyNumberFormat="1" applyFont="1" applyBorder="1" applyAlignment="1">
      <alignment horizontal="center"/>
    </xf>
    <xf numFmtId="0" fontId="34" fillId="0" borderId="15" xfId="0" applyFont="1" applyBorder="1" applyAlignment="1">
      <alignment horizontal="center"/>
    </xf>
    <xf numFmtId="0" fontId="31" fillId="0" borderId="0" xfId="0" applyFont="1" applyBorder="1" applyAlignment="1">
      <alignment horizontal="center"/>
    </xf>
    <xf numFmtId="0" fontId="31" fillId="0" borderId="6" xfId="0" applyFont="1" applyBorder="1" applyAlignment="1">
      <alignment horizontal="center"/>
    </xf>
    <xf numFmtId="164" fontId="31" fillId="0" borderId="7" xfId="1" applyNumberFormat="1" applyFont="1" applyBorder="1" applyAlignment="1">
      <alignment horizontal="center"/>
    </xf>
    <xf numFmtId="0" fontId="31" fillId="0" borderId="7" xfId="0" applyFont="1" applyBorder="1" applyAlignment="1">
      <alignment horizontal="center"/>
    </xf>
    <xf numFmtId="164" fontId="31" fillId="0" borderId="7" xfId="1" applyNumberFormat="1" applyFont="1" applyBorder="1"/>
    <xf numFmtId="164" fontId="31" fillId="0" borderId="6" xfId="1" applyNumberFormat="1" applyFont="1" applyBorder="1"/>
    <xf numFmtId="164" fontId="31" fillId="0" borderId="0" xfId="1" applyNumberFormat="1" applyFont="1" applyBorder="1"/>
    <xf numFmtId="0" fontId="31" fillId="0" borderId="9" xfId="0" applyFont="1" applyBorder="1" applyAlignment="1">
      <alignment horizontal="center"/>
    </xf>
    <xf numFmtId="164" fontId="31" fillId="0" borderId="8" xfId="1" applyNumberFormat="1" applyFont="1" applyBorder="1"/>
    <xf numFmtId="164" fontId="31" fillId="0" borderId="9" xfId="1" applyNumberFormat="1" applyFont="1" applyBorder="1"/>
    <xf numFmtId="164" fontId="31" fillId="0" borderId="10" xfId="1" applyNumberFormat="1" applyFont="1" applyBorder="1"/>
    <xf numFmtId="0" fontId="34" fillId="0" borderId="17" xfId="0" applyFont="1" applyBorder="1" applyAlignment="1">
      <alignment horizontal="center"/>
    </xf>
    <xf numFmtId="0" fontId="34" fillId="0" borderId="14" xfId="0" applyFont="1" applyFill="1" applyBorder="1" applyAlignment="1">
      <alignment horizontal="center"/>
    </xf>
    <xf numFmtId="0" fontId="34" fillId="0" borderId="15" xfId="0" applyFont="1" applyFill="1" applyBorder="1" applyAlignment="1">
      <alignment horizontal="center"/>
    </xf>
    <xf numFmtId="0" fontId="31" fillId="0" borderId="18" xfId="0" applyFont="1" applyBorder="1" applyAlignment="1">
      <alignment horizontal="center"/>
    </xf>
    <xf numFmtId="164" fontId="31" fillId="0" borderId="0" xfId="0" applyNumberFormat="1" applyFont="1" applyBorder="1"/>
    <xf numFmtId="167" fontId="31" fillId="0" borderId="7" xfId="0" applyNumberFormat="1" applyFont="1" applyBorder="1"/>
    <xf numFmtId="167" fontId="31" fillId="0" borderId="0" xfId="0" applyNumberFormat="1" applyFont="1" applyBorder="1"/>
    <xf numFmtId="164" fontId="31" fillId="0" borderId="6" xfId="0" applyNumberFormat="1" applyFont="1" applyBorder="1"/>
    <xf numFmtId="164" fontId="34" fillId="0" borderId="6" xfId="0" applyNumberFormat="1" applyFont="1" applyBorder="1"/>
    <xf numFmtId="164" fontId="34" fillId="0" borderId="18" xfId="0" applyNumberFormat="1" applyFont="1" applyBorder="1"/>
    <xf numFmtId="164" fontId="34" fillId="0" borderId="0" xfId="0" applyNumberFormat="1" applyFont="1" applyBorder="1"/>
    <xf numFmtId="164" fontId="34" fillId="0" borderId="7" xfId="1" applyNumberFormat="1" applyFont="1" applyBorder="1"/>
    <xf numFmtId="164" fontId="34" fillId="0" borderId="8" xfId="0" applyNumberFormat="1" applyFont="1" applyBorder="1"/>
    <xf numFmtId="164" fontId="34" fillId="0" borderId="19" xfId="0" applyNumberFormat="1" applyFont="1" applyBorder="1"/>
    <xf numFmtId="164" fontId="34" fillId="0" borderId="9" xfId="0" applyNumberFormat="1" applyFont="1" applyBorder="1"/>
    <xf numFmtId="164" fontId="34" fillId="0" borderId="10" xfId="1" applyNumberFormat="1" applyFont="1" applyBorder="1"/>
    <xf numFmtId="167" fontId="31" fillId="0" borderId="9" xfId="0" applyNumberFormat="1" applyFont="1" applyBorder="1"/>
    <xf numFmtId="0" fontId="31" fillId="0" borderId="0" xfId="0" applyFont="1" applyAlignment="1">
      <alignment horizontal="center"/>
    </xf>
    <xf numFmtId="164" fontId="31" fillId="0" borderId="0" xfId="1" applyNumberFormat="1" applyFont="1"/>
    <xf numFmtId="167" fontId="31" fillId="0" borderId="0" xfId="2" applyNumberFormat="1" applyFont="1"/>
    <xf numFmtId="0" fontId="24" fillId="0" borderId="0" xfId="0" applyFont="1"/>
    <xf numFmtId="0" fontId="24" fillId="0" borderId="0" xfId="0" applyFont="1" applyAlignment="1">
      <alignment horizontal="center"/>
    </xf>
    <xf numFmtId="0" fontId="34" fillId="0" borderId="17" xfId="0" applyFont="1" applyFill="1" applyBorder="1" applyAlignment="1">
      <alignment horizontal="center"/>
    </xf>
    <xf numFmtId="167" fontId="31" fillId="0" borderId="18" xfId="2" applyNumberFormat="1" applyFont="1" applyBorder="1"/>
    <xf numFmtId="167" fontId="31" fillId="0" borderId="19" xfId="2" applyNumberFormat="1" applyFont="1" applyBorder="1"/>
    <xf numFmtId="0" fontId="31" fillId="0" borderId="6" xfId="0" applyFont="1" applyFill="1" applyBorder="1"/>
    <xf numFmtId="164" fontId="31" fillId="0" borderId="6" xfId="1" applyNumberFormat="1" applyFont="1" applyFill="1" applyBorder="1"/>
    <xf numFmtId="164" fontId="31" fillId="0" borderId="0" xfId="1" applyNumberFormat="1" applyFont="1" applyFill="1" applyBorder="1"/>
    <xf numFmtId="164" fontId="31" fillId="0" borderId="7" xfId="1" applyNumberFormat="1" applyFont="1" applyFill="1" applyBorder="1"/>
    <xf numFmtId="37" fontId="16" fillId="0" borderId="0" xfId="0" applyNumberFormat="1" applyFont="1" applyFill="1" applyBorder="1" applyAlignment="1">
      <alignment horizontal="left"/>
    </xf>
    <xf numFmtId="0" fontId="16" fillId="0" borderId="0" xfId="0" applyFont="1" applyFill="1" applyBorder="1" applyAlignment="1"/>
    <xf numFmtId="0" fontId="4" fillId="0" borderId="0" xfId="0" applyNumberFormat="1" applyFont="1" applyFill="1" applyBorder="1" applyAlignment="1">
      <alignment horizontal="left"/>
    </xf>
    <xf numFmtId="0" fontId="0" fillId="0" borderId="0" xfId="0" applyFill="1" applyBorder="1" applyAlignment="1">
      <alignment horizontal="center"/>
    </xf>
    <xf numFmtId="0" fontId="0" fillId="0" borderId="0" xfId="0" applyFill="1" applyBorder="1"/>
    <xf numFmtId="164" fontId="0" fillId="0" borderId="0" xfId="1" applyNumberFormat="1" applyFont="1" applyFill="1" applyBorder="1"/>
    <xf numFmtId="0" fontId="31" fillId="0" borderId="15" xfId="0" applyFont="1" applyBorder="1"/>
    <xf numFmtId="0" fontId="31" fillId="0" borderId="7" xfId="0" applyFont="1" applyFill="1" applyBorder="1"/>
    <xf numFmtId="0" fontId="52" fillId="0" borderId="0" xfId="0" applyFont="1" applyAlignment="1">
      <alignment horizontal="center"/>
    </xf>
    <xf numFmtId="0" fontId="52" fillId="0" borderId="0" xfId="0" applyFont="1"/>
    <xf numFmtId="0" fontId="53" fillId="0" borderId="0" xfId="0" applyFont="1"/>
    <xf numFmtId="0" fontId="54" fillId="0" borderId="0" xfId="0" applyFont="1" applyAlignment="1">
      <alignment horizontal="left"/>
    </xf>
    <xf numFmtId="16" fontId="52" fillId="0" borderId="0" xfId="0" applyNumberFormat="1" applyFont="1" applyAlignment="1">
      <alignment horizontal="center"/>
    </xf>
    <xf numFmtId="164" fontId="52" fillId="0" borderId="0" xfId="1" applyNumberFormat="1" applyFont="1"/>
    <xf numFmtId="167" fontId="52" fillId="0" borderId="0" xfId="2" applyNumberFormat="1" applyFont="1"/>
    <xf numFmtId="0" fontId="52" fillId="0" borderId="0" xfId="0" applyFont="1" applyAlignment="1">
      <alignment horizontal="left"/>
    </xf>
    <xf numFmtId="164" fontId="52" fillId="2" borderId="0" xfId="1" applyNumberFormat="1" applyFont="1" applyFill="1"/>
    <xf numFmtId="164" fontId="52" fillId="0" borderId="0" xfId="0" applyNumberFormat="1" applyFont="1"/>
    <xf numFmtId="173" fontId="52" fillId="0" borderId="0" xfId="5" applyNumberFormat="1" applyFont="1"/>
    <xf numFmtId="167" fontId="52" fillId="0" borderId="0" xfId="0" applyNumberFormat="1" applyFont="1"/>
    <xf numFmtId="167" fontId="52" fillId="0" borderId="0" xfId="2" applyNumberFormat="1" applyFont="1" applyAlignment="1">
      <alignment horizontal="left"/>
    </xf>
    <xf numFmtId="164" fontId="52" fillId="0" borderId="0" xfId="0" applyNumberFormat="1" applyFont="1" applyAlignment="1">
      <alignment horizontal="left"/>
    </xf>
    <xf numFmtId="164" fontId="52" fillId="0" borderId="0" xfId="0" applyNumberFormat="1" applyFont="1" applyAlignment="1">
      <alignment horizontal="center"/>
    </xf>
    <xf numFmtId="173" fontId="52" fillId="0" borderId="0" xfId="0" applyNumberFormat="1" applyFont="1"/>
    <xf numFmtId="168" fontId="52" fillId="0" borderId="0" xfId="5" applyNumberFormat="1" applyFont="1"/>
    <xf numFmtId="167" fontId="52" fillId="0" borderId="0" xfId="0" applyNumberFormat="1" applyFont="1" applyAlignment="1">
      <alignment horizontal="center"/>
    </xf>
    <xf numFmtId="0" fontId="11" fillId="0" borderId="6" xfId="0" applyFont="1" applyBorder="1"/>
    <xf numFmtId="0" fontId="24" fillId="0" borderId="7" xfId="0" applyFont="1" applyBorder="1" applyAlignment="1">
      <alignment horizontal="center"/>
    </xf>
    <xf numFmtId="164" fontId="52" fillId="0" borderId="0" xfId="1" applyNumberFormat="1" applyFont="1" applyFill="1"/>
    <xf numFmtId="173" fontId="52" fillId="2" borderId="0" xfId="5" applyNumberFormat="1" applyFont="1" applyFill="1"/>
    <xf numFmtId="167" fontId="52" fillId="2" borderId="0" xfId="2" applyNumberFormat="1" applyFont="1" applyFill="1"/>
    <xf numFmtId="167" fontId="52" fillId="0" borderId="0" xfId="2" applyNumberFormat="1" applyFont="1" applyFill="1" applyAlignment="1">
      <alignment horizontal="left"/>
    </xf>
    <xf numFmtId="0" fontId="52" fillId="0" borderId="0" xfId="0" applyFont="1" applyFill="1"/>
    <xf numFmtId="173" fontId="52" fillId="0" borderId="0" xfId="5" applyNumberFormat="1" applyFont="1" applyFill="1"/>
    <xf numFmtId="164" fontId="52" fillId="0" borderId="0" xfId="0" applyNumberFormat="1" applyFont="1" applyFill="1"/>
    <xf numFmtId="0" fontId="52" fillId="0" borderId="0" xfId="0" applyFont="1" applyBorder="1" applyAlignment="1">
      <alignment horizontal="center"/>
    </xf>
    <xf numFmtId="0" fontId="52" fillId="0" borderId="0" xfId="0" applyFont="1" applyBorder="1"/>
    <xf numFmtId="0" fontId="52" fillId="0" borderId="0" xfId="0" applyNumberFormat="1" applyFont="1" applyAlignment="1">
      <alignment horizontal="left"/>
    </xf>
    <xf numFmtId="0" fontId="52" fillId="0" borderId="0" xfId="2" applyNumberFormat="1" applyFont="1" applyFill="1" applyAlignment="1">
      <alignment horizontal="left"/>
    </xf>
    <xf numFmtId="3" fontId="6" fillId="0" borderId="0" xfId="0" applyNumberFormat="1" applyFont="1" applyAlignment="1">
      <alignment horizontal="center"/>
    </xf>
    <xf numFmtId="0" fontId="31" fillId="0" borderId="0" xfId="0" applyFont="1" applyAlignment="1">
      <alignment horizontal="right"/>
    </xf>
    <xf numFmtId="0" fontId="6" fillId="7" borderId="14" xfId="0" applyFont="1" applyFill="1" applyBorder="1" applyAlignment="1"/>
    <xf numFmtId="0" fontId="6" fillId="7" borderId="14" xfId="0" applyFont="1" applyFill="1" applyBorder="1" applyAlignment="1">
      <alignment horizontal="center"/>
    </xf>
    <xf numFmtId="0" fontId="27" fillId="7" borderId="16" xfId="0" applyFont="1" applyFill="1" applyBorder="1" applyAlignment="1">
      <alignment horizontal="left"/>
    </xf>
    <xf numFmtId="3" fontId="4" fillId="0" borderId="0" xfId="0" applyNumberFormat="1" applyFont="1" applyFill="1" applyAlignment="1"/>
    <xf numFmtId="0" fontId="5" fillId="0" borderId="0" xfId="0" applyFont="1" applyFill="1"/>
    <xf numFmtId="0" fontId="32" fillId="0" borderId="0" xfId="0" applyFont="1" applyAlignment="1">
      <alignment horizontal="right"/>
    </xf>
    <xf numFmtId="0" fontId="3" fillId="0" borderId="0" xfId="0" applyFont="1" applyAlignment="1"/>
    <xf numFmtId="0" fontId="56" fillId="0" borderId="0" xfId="0" applyFont="1" applyAlignment="1"/>
    <xf numFmtId="164" fontId="2" fillId="2" borderId="0" xfId="1" applyNumberFormat="1" applyFont="1" applyFill="1" applyAlignment="1">
      <alignment wrapText="1"/>
    </xf>
    <xf numFmtId="3" fontId="31" fillId="0" borderId="0" xfId="0" applyNumberFormat="1" applyFont="1" applyBorder="1" applyAlignment="1">
      <alignment horizontal="center"/>
    </xf>
    <xf numFmtId="3" fontId="31" fillId="0" borderId="9" xfId="0" applyNumberFormat="1" applyFont="1" applyBorder="1" applyAlignment="1">
      <alignment horizontal="center"/>
    </xf>
    <xf numFmtId="164" fontId="31" fillId="0" borderId="8" xfId="1" applyNumberFormat="1" applyFont="1" applyBorder="1" applyAlignment="1">
      <alignment horizontal="center"/>
    </xf>
    <xf numFmtId="164" fontId="31" fillId="0" borderId="9" xfId="1" applyNumberFormat="1" applyFont="1" applyBorder="1" applyAlignment="1">
      <alignment horizontal="center"/>
    </xf>
    <xf numFmtId="10" fontId="31" fillId="0" borderId="8" xfId="5" applyNumberFormat="1" applyFont="1" applyBorder="1" applyAlignment="1">
      <alignment horizontal="center"/>
    </xf>
    <xf numFmtId="164" fontId="31" fillId="0" borderId="8" xfId="0" applyNumberFormat="1" applyFont="1" applyBorder="1" applyAlignment="1">
      <alignment horizontal="center"/>
    </xf>
    <xf numFmtId="164" fontId="34" fillId="0" borderId="8" xfId="1" applyNumberFormat="1" applyFont="1" applyBorder="1" applyAlignment="1">
      <alignment horizontal="center"/>
    </xf>
    <xf numFmtId="164" fontId="52" fillId="5" borderId="0" xfId="1" applyNumberFormat="1" applyFont="1" applyFill="1"/>
    <xf numFmtId="164" fontId="52" fillId="5" borderId="0" xfId="0" applyNumberFormat="1" applyFont="1" applyFill="1"/>
    <xf numFmtId="3" fontId="31" fillId="0" borderId="6" xfId="0" applyNumberFormat="1" applyFont="1" applyBorder="1" applyAlignment="1">
      <alignment horizontal="center"/>
    </xf>
    <xf numFmtId="0" fontId="8" fillId="0" borderId="3" xfId="0" applyFont="1" applyBorder="1" applyAlignment="1">
      <alignment horizontal="center"/>
    </xf>
    <xf numFmtId="164" fontId="31" fillId="0" borderId="8" xfId="1" applyNumberFormat="1" applyFont="1" applyFill="1" applyBorder="1" applyAlignment="1">
      <alignment horizontal="right"/>
    </xf>
    <xf numFmtId="3" fontId="31" fillId="0" borderId="6" xfId="0" applyNumberFormat="1" applyFont="1" applyBorder="1" applyAlignment="1">
      <alignment horizontal="right"/>
    </xf>
    <xf numFmtId="0" fontId="31" fillId="0" borderId="6" xfId="0" applyFont="1" applyBorder="1" applyAlignment="1">
      <alignment horizontal="right"/>
    </xf>
    <xf numFmtId="3" fontId="31" fillId="0" borderId="0" xfId="0" applyNumberFormat="1" applyFont="1" applyFill="1" applyBorder="1" applyAlignment="1">
      <alignment horizontal="center"/>
    </xf>
    <xf numFmtId="0" fontId="31" fillId="0" borderId="9" xfId="0" applyFont="1" applyFill="1" applyBorder="1"/>
    <xf numFmtId="0" fontId="31" fillId="0" borderId="13" xfId="0" applyFont="1" applyBorder="1"/>
    <xf numFmtId="0" fontId="48" fillId="0" borderId="5" xfId="0" applyFont="1" applyFill="1" applyBorder="1" applyAlignment="1">
      <alignment horizontal="left"/>
    </xf>
    <xf numFmtId="3" fontId="31" fillId="0" borderId="8" xfId="0" applyNumberFormat="1" applyFont="1" applyBorder="1" applyAlignment="1">
      <alignment horizontal="center"/>
    </xf>
    <xf numFmtId="3" fontId="33" fillId="0" borderId="0" xfId="0" applyNumberFormat="1" applyFont="1"/>
    <xf numFmtId="0" fontId="31" fillId="0" borderId="0" xfId="0" applyFont="1" applyFill="1" applyBorder="1" applyAlignment="1">
      <alignment horizontal="left"/>
    </xf>
    <xf numFmtId="3" fontId="8" fillId="0" borderId="3" xfId="0" applyNumberFormat="1" applyFont="1" applyFill="1" applyBorder="1" applyAlignment="1">
      <alignment horizontal="center"/>
    </xf>
    <xf numFmtId="164" fontId="31" fillId="0" borderId="0" xfId="1" applyNumberFormat="1" applyFont="1" applyFill="1" applyBorder="1" applyAlignment="1">
      <alignment horizontal="center" wrapText="1"/>
    </xf>
    <xf numFmtId="0" fontId="24" fillId="0" borderId="0" xfId="0" applyFont="1" applyFill="1" applyBorder="1" applyAlignment="1">
      <alignment vertical="top"/>
    </xf>
    <xf numFmtId="0" fontId="38" fillId="0" borderId="0" xfId="0" applyFont="1" applyBorder="1" applyAlignment="1">
      <alignment horizontal="center" vertical="top"/>
    </xf>
    <xf numFmtId="0" fontId="24" fillId="0" borderId="7" xfId="0" applyNumberFormat="1" applyFont="1" applyFill="1" applyBorder="1" applyAlignment="1">
      <alignment horizontal="left" vertical="top"/>
    </xf>
    <xf numFmtId="3" fontId="31" fillId="0" borderId="6" xfId="0" applyNumberFormat="1" applyFont="1" applyBorder="1" applyAlignment="1">
      <alignment horizontal="center" vertical="top"/>
    </xf>
    <xf numFmtId="3" fontId="31" fillId="0" borderId="0" xfId="0" applyNumberFormat="1" applyFont="1" applyBorder="1" applyAlignment="1">
      <alignment horizontal="center" vertical="top"/>
    </xf>
    <xf numFmtId="0" fontId="24" fillId="0" borderId="0" xfId="0" applyNumberFormat="1" applyFont="1" applyFill="1" applyBorder="1" applyAlignment="1">
      <alignment vertical="top"/>
    </xf>
    <xf numFmtId="3" fontId="38" fillId="0" borderId="0" xfId="0" applyNumberFormat="1" applyFont="1" applyBorder="1" applyAlignment="1">
      <alignment horizontal="center" vertical="top"/>
    </xf>
    <xf numFmtId="164" fontId="6" fillId="0" borderId="0" xfId="0" applyNumberFormat="1" applyFont="1"/>
    <xf numFmtId="0" fontId="4" fillId="0" borderId="0" xfId="0" applyFont="1" applyAlignment="1"/>
    <xf numFmtId="3" fontId="17" fillId="9" borderId="1" xfId="0" applyNumberFormat="1" applyFont="1" applyFill="1" applyBorder="1" applyAlignment="1">
      <alignment horizontal="right"/>
    </xf>
    <xf numFmtId="3" fontId="16" fillId="0" borderId="1" xfId="0" applyNumberFormat="1" applyFont="1" applyFill="1" applyBorder="1" applyAlignment="1">
      <alignment horizontal="right"/>
    </xf>
    <xf numFmtId="0" fontId="54" fillId="0" borderId="0" xfId="0" applyFont="1" applyFill="1" applyAlignment="1">
      <alignment horizontal="left"/>
    </xf>
    <xf numFmtId="0" fontId="52" fillId="0" borderId="0" xfId="0" applyFont="1" applyFill="1" applyAlignment="1">
      <alignment horizontal="center"/>
    </xf>
    <xf numFmtId="3" fontId="24" fillId="0" borderId="7" xfId="0" applyNumberFormat="1" applyFont="1" applyFill="1" applyBorder="1" applyAlignment="1">
      <alignment horizontal="center" vertical="top"/>
    </xf>
    <xf numFmtId="3" fontId="4" fillId="0" borderId="0" xfId="0" applyNumberFormat="1" applyFont="1" applyFill="1" applyBorder="1" applyAlignment="1">
      <alignment horizontal="right"/>
    </xf>
    <xf numFmtId="0" fontId="5" fillId="0" borderId="0" xfId="0" applyFont="1" applyFill="1" applyBorder="1"/>
    <xf numFmtId="0" fontId="34" fillId="2" borderId="0" xfId="0" applyFont="1" applyFill="1" applyBorder="1" applyAlignment="1">
      <alignment horizontal="center"/>
    </xf>
    <xf numFmtId="164" fontId="31" fillId="0" borderId="6" xfId="0" applyNumberFormat="1" applyFont="1" applyBorder="1" applyAlignment="1">
      <alignment horizontal="center"/>
    </xf>
    <xf numFmtId="164" fontId="31" fillId="0" borderId="0" xfId="0" applyNumberFormat="1" applyFont="1" applyBorder="1" applyAlignment="1">
      <alignment horizontal="center"/>
    </xf>
    <xf numFmtId="0" fontId="24" fillId="0" borderId="9" xfId="0" applyNumberFormat="1" applyFont="1" applyBorder="1" applyAlignment="1">
      <alignment horizontal="left"/>
    </xf>
    <xf numFmtId="0" fontId="38" fillId="0" borderId="9" xfId="0" applyNumberFormat="1" applyFont="1" applyBorder="1" applyAlignment="1">
      <alignment horizontal="center"/>
    </xf>
    <xf numFmtId="0" fontId="24" fillId="0" borderId="10" xfId="0" applyNumberFormat="1" applyFont="1" applyBorder="1" applyAlignment="1">
      <alignment horizontal="left"/>
    </xf>
    <xf numFmtId="168" fontId="31" fillId="0" borderId="9" xfId="5" applyNumberFormat="1" applyFont="1" applyBorder="1" applyAlignment="1">
      <alignment horizontal="center"/>
    </xf>
    <xf numFmtId="164" fontId="31" fillId="0" borderId="9" xfId="0" applyNumberFormat="1" applyFont="1" applyBorder="1" applyAlignment="1">
      <alignment horizontal="center"/>
    </xf>
    <xf numFmtId="168" fontId="24" fillId="0" borderId="0" xfId="5" applyNumberFormat="1" applyFont="1"/>
    <xf numFmtId="164" fontId="24" fillId="0" borderId="7" xfId="1" applyNumberFormat="1" applyFont="1" applyFill="1" applyBorder="1" applyAlignment="1">
      <alignment horizontal="left"/>
    </xf>
    <xf numFmtId="168" fontId="24" fillId="0" borderId="0" xfId="5" applyNumberFormat="1" applyFont="1" applyBorder="1"/>
    <xf numFmtId="164" fontId="37" fillId="0" borderId="0" xfId="1" applyNumberFormat="1" applyFont="1" applyBorder="1"/>
    <xf numFmtId="0" fontId="31" fillId="0" borderId="6" xfId="0" applyNumberFormat="1" applyFont="1" applyFill="1" applyBorder="1" applyAlignment="1">
      <alignment horizontal="center"/>
    </xf>
    <xf numFmtId="0" fontId="31" fillId="0" borderId="0" xfId="0" applyNumberFormat="1" applyFont="1" applyFill="1" applyBorder="1" applyAlignment="1">
      <alignment horizontal="center"/>
    </xf>
    <xf numFmtId="0" fontId="31" fillId="0" borderId="0" xfId="0" applyNumberFormat="1" applyFont="1" applyFill="1" applyBorder="1" applyAlignment="1">
      <alignment horizontal="left"/>
    </xf>
    <xf numFmtId="0" fontId="35" fillId="0" borderId="0" xfId="0" applyNumberFormat="1" applyFont="1" applyFill="1" applyBorder="1" applyAlignment="1">
      <alignment horizontal="center"/>
    </xf>
    <xf numFmtId="0" fontId="31" fillId="0" borderId="7" xfId="0" applyNumberFormat="1" applyFont="1" applyFill="1" applyBorder="1" applyAlignment="1">
      <alignment horizontal="center"/>
    </xf>
    <xf numFmtId="164" fontId="4" fillId="2" borderId="0" xfId="1" applyNumberFormat="1" applyFont="1" applyFill="1" applyAlignment="1"/>
    <xf numFmtId="164" fontId="34" fillId="0" borderId="0" xfId="1" applyNumberFormat="1" applyFont="1" applyBorder="1" applyAlignment="1">
      <alignment horizontal="center"/>
    </xf>
    <xf numFmtId="0" fontId="3" fillId="0" borderId="0" xfId="0" applyFont="1"/>
    <xf numFmtId="164" fontId="31" fillId="0" borderId="0" xfId="1" applyNumberFormat="1" applyFont="1" applyFill="1" applyBorder="1" applyAlignment="1">
      <alignment wrapText="1"/>
    </xf>
    <xf numFmtId="164" fontId="31" fillId="0" borderId="0" xfId="1" applyNumberFormat="1" applyFont="1" applyBorder="1" applyAlignment="1">
      <alignment horizontal="center"/>
    </xf>
    <xf numFmtId="164" fontId="52" fillId="2" borderId="0" xfId="0" applyNumberFormat="1" applyFont="1" applyFill="1"/>
    <xf numFmtId="167" fontId="52" fillId="5" borderId="0" xfId="2" applyNumberFormat="1" applyFont="1" applyFill="1" applyAlignment="1">
      <alignment horizontal="left"/>
    </xf>
    <xf numFmtId="0" fontId="52" fillId="0" borderId="0" xfId="0" applyFont="1" applyFill="1" applyAlignment="1">
      <alignment horizontal="left"/>
    </xf>
    <xf numFmtId="167" fontId="52" fillId="10" borderId="0" xfId="0" applyNumberFormat="1" applyFont="1" applyFill="1"/>
    <xf numFmtId="164" fontId="52" fillId="10" borderId="0" xfId="0" applyNumberFormat="1" applyFont="1" applyFill="1" applyAlignment="1">
      <alignment horizontal="left"/>
    </xf>
    <xf numFmtId="0" fontId="46" fillId="0" borderId="0" xfId="0" applyFont="1" applyFill="1" applyAlignment="1">
      <alignment horizontal="left"/>
    </xf>
    <xf numFmtId="167" fontId="52" fillId="10" borderId="0" xfId="2" applyNumberFormat="1" applyFont="1" applyFill="1"/>
    <xf numFmtId="3" fontId="16" fillId="0" borderId="0" xfId="0" applyNumberFormat="1" applyFont="1" applyFill="1" applyBorder="1" applyAlignment="1">
      <alignment horizontal="right"/>
    </xf>
    <xf numFmtId="0" fontId="57" fillId="0" borderId="0" xfId="0" applyFont="1"/>
    <xf numFmtId="41" fontId="3" fillId="0" borderId="0" xfId="0" applyNumberFormat="1" applyFont="1" applyAlignment="1">
      <alignment horizontal="center"/>
    </xf>
    <xf numFmtId="41" fontId="3" fillId="0" borderId="0" xfId="0" applyNumberFormat="1" applyFont="1" applyFill="1" applyAlignment="1">
      <alignment horizontal="center"/>
    </xf>
    <xf numFmtId="9" fontId="31" fillId="0" borderId="0" xfId="5" applyFont="1" applyBorder="1" applyAlignment="1">
      <alignment horizontal="center"/>
    </xf>
    <xf numFmtId="10" fontId="31" fillId="0" borderId="0" xfId="5" applyNumberFormat="1" applyFont="1" applyBorder="1" applyAlignment="1">
      <alignment horizontal="center"/>
    </xf>
    <xf numFmtId="164" fontId="31" fillId="0" borderId="8" xfId="0" applyNumberFormat="1" applyFont="1" applyFill="1" applyBorder="1" applyAlignment="1">
      <alignment horizontal="center"/>
    </xf>
    <xf numFmtId="164" fontId="31" fillId="6" borderId="6" xfId="0" applyNumberFormat="1" applyFont="1" applyFill="1" applyBorder="1" applyAlignment="1">
      <alignment horizontal="center"/>
    </xf>
    <xf numFmtId="164" fontId="31" fillId="6" borderId="8" xfId="0" applyNumberFormat="1" applyFont="1" applyFill="1" applyBorder="1" applyAlignment="1">
      <alignment horizontal="center"/>
    </xf>
    <xf numFmtId="0" fontId="13" fillId="0" borderId="0" xfId="0" applyFont="1" applyFill="1" applyAlignment="1">
      <alignment horizontal="left" wrapText="1"/>
    </xf>
    <xf numFmtId="0" fontId="31" fillId="0" borderId="22" xfId="0" applyFont="1" applyFill="1" applyBorder="1"/>
    <xf numFmtId="0" fontId="31" fillId="0" borderId="22" xfId="0" applyFont="1" applyBorder="1"/>
    <xf numFmtId="164" fontId="24" fillId="0" borderId="0" xfId="1" applyNumberFormat="1" applyFont="1" applyBorder="1"/>
    <xf numFmtId="164" fontId="24" fillId="0" borderId="9" xfId="1" applyNumberFormat="1" applyFont="1" applyBorder="1"/>
    <xf numFmtId="164" fontId="37" fillId="0" borderId="9" xfId="1" applyNumberFormat="1" applyFont="1" applyBorder="1"/>
    <xf numFmtId="164" fontId="37" fillId="0" borderId="10" xfId="1" applyNumberFormat="1" applyFont="1" applyBorder="1"/>
    <xf numFmtId="0" fontId="31" fillId="0" borderId="9" xfId="0" applyFont="1" applyFill="1" applyBorder="1" applyAlignment="1">
      <alignment horizontal="left"/>
    </xf>
    <xf numFmtId="0" fontId="55" fillId="0" borderId="0" xfId="0" applyFont="1" applyFill="1" applyBorder="1"/>
    <xf numFmtId="0" fontId="48" fillId="0" borderId="0" xfId="0" applyNumberFormat="1" applyFont="1" applyFill="1" applyBorder="1" applyAlignment="1">
      <alignment horizontal="left"/>
    </xf>
    <xf numFmtId="0" fontId="31" fillId="0" borderId="14" xfId="0" applyFont="1" applyBorder="1"/>
    <xf numFmtId="0" fontId="30" fillId="0" borderId="14" xfId="0" applyFont="1" applyBorder="1"/>
    <xf numFmtId="167" fontId="31" fillId="0" borderId="6" xfId="2" applyNumberFormat="1" applyFont="1" applyBorder="1"/>
    <xf numFmtId="167" fontId="31" fillId="0" borderId="9" xfId="2" applyNumberFormat="1" applyFont="1" applyBorder="1"/>
    <xf numFmtId="164" fontId="31" fillId="0" borderId="0" xfId="1" applyNumberFormat="1" applyFont="1" applyAlignment="1">
      <alignment horizontal="center"/>
    </xf>
    <xf numFmtId="0" fontId="24" fillId="0" borderId="0" xfId="0" applyFont="1" applyFill="1" applyAlignment="1">
      <alignment vertical="center" wrapText="1"/>
    </xf>
    <xf numFmtId="0" fontId="43" fillId="0" borderId="0" xfId="0" applyFont="1" applyFill="1" applyBorder="1" applyAlignment="1">
      <alignment horizontal="center"/>
    </xf>
    <xf numFmtId="0" fontId="52" fillId="11" borderId="0" xfId="0" applyFont="1" applyFill="1" applyAlignment="1">
      <alignment horizontal="center"/>
    </xf>
    <xf numFmtId="0" fontId="52" fillId="0" borderId="0" xfId="0" applyFont="1" applyAlignment="1"/>
    <xf numFmtId="0" fontId="27" fillId="7" borderId="8" xfId="0" applyFont="1" applyFill="1" applyBorder="1" applyAlignment="1">
      <alignment horizontal="left"/>
    </xf>
    <xf numFmtId="0" fontId="17" fillId="7" borderId="9" xfId="0" applyFont="1" applyFill="1" applyBorder="1" applyAlignment="1"/>
    <xf numFmtId="0" fontId="17" fillId="7" borderId="9" xfId="0" applyNumberFormat="1" applyFont="1" applyFill="1" applyBorder="1" applyAlignment="1">
      <alignment horizontal="center"/>
    </xf>
    <xf numFmtId="0" fontId="52" fillId="0" borderId="0" xfId="0" applyFont="1" applyFill="1" applyAlignment="1">
      <alignment wrapText="1"/>
    </xf>
    <xf numFmtId="0" fontId="52" fillId="0" borderId="0" xfId="0" applyFont="1" applyAlignment="1">
      <alignment horizontal="center" vertical="top"/>
    </xf>
    <xf numFmtId="0" fontId="52" fillId="11" borderId="0" xfId="0" applyFont="1" applyFill="1" applyAlignment="1">
      <alignment horizontal="center" vertical="top"/>
    </xf>
    <xf numFmtId="3" fontId="8" fillId="0" borderId="0" xfId="0" applyNumberFormat="1" applyFont="1" applyFill="1" applyAlignment="1"/>
    <xf numFmtId="0" fontId="26" fillId="0" borderId="0" xfId="0" applyNumberFormat="1" applyFont="1" applyFill="1" applyBorder="1" applyAlignment="1">
      <alignment horizontal="left"/>
    </xf>
    <xf numFmtId="37" fontId="17" fillId="8" borderId="0" xfId="0" applyNumberFormat="1" applyFont="1" applyFill="1" applyBorder="1" applyAlignment="1">
      <alignment horizontal="right"/>
    </xf>
    <xf numFmtId="1" fontId="24" fillId="0" borderId="0" xfId="0" applyNumberFormat="1" applyFont="1" applyFill="1" applyBorder="1" applyAlignment="1">
      <alignment horizontal="center"/>
    </xf>
    <xf numFmtId="0" fontId="24" fillId="0" borderId="0" xfId="0" applyFont="1" applyFill="1" applyBorder="1" applyAlignment="1">
      <alignment horizontal="center" vertical="top"/>
    </xf>
    <xf numFmtId="0" fontId="24" fillId="0" borderId="9" xfId="0" applyFont="1" applyFill="1" applyBorder="1" applyAlignment="1">
      <alignment horizontal="center"/>
    </xf>
    <xf numFmtId="0" fontId="24" fillId="0" borderId="9" xfId="0" applyFont="1" applyBorder="1" applyAlignment="1">
      <alignment horizontal="center"/>
    </xf>
    <xf numFmtId="164" fontId="52" fillId="0" borderId="3" xfId="1" applyNumberFormat="1" applyFont="1" applyFill="1" applyBorder="1"/>
    <xf numFmtId="0" fontId="31" fillId="0" borderId="0" xfId="0" applyFont="1" applyFill="1" applyBorder="1"/>
    <xf numFmtId="0" fontId="2" fillId="0" borderId="0" xfId="0" applyFont="1"/>
    <xf numFmtId="164" fontId="58" fillId="0" borderId="0" xfId="0" applyNumberFormat="1" applyFont="1" applyFill="1" applyBorder="1"/>
    <xf numFmtId="164" fontId="58" fillId="0" borderId="0" xfId="1" applyNumberFormat="1" applyFont="1" applyFill="1" applyBorder="1"/>
    <xf numFmtId="164" fontId="2" fillId="0" borderId="0" xfId="0" applyNumberFormat="1" applyFont="1" applyFill="1" applyBorder="1"/>
    <xf numFmtId="0" fontId="2" fillId="0" borderId="0" xfId="0" applyFont="1" applyFill="1" applyBorder="1"/>
    <xf numFmtId="3" fontId="6" fillId="0" borderId="0" xfId="0" applyNumberFormat="1" applyFont="1" applyBorder="1" applyAlignment="1"/>
    <xf numFmtId="3" fontId="59" fillId="0" borderId="0" xfId="0" applyNumberFormat="1" applyFont="1" applyFill="1" applyBorder="1" applyAlignment="1"/>
    <xf numFmtId="3" fontId="6" fillId="0" borderId="2" xfId="0" applyNumberFormat="1" applyFont="1" applyFill="1" applyBorder="1" applyAlignment="1"/>
    <xf numFmtId="3" fontId="6" fillId="0" borderId="0" xfId="0" applyNumberFormat="1" applyFont="1" applyFill="1" applyBorder="1" applyAlignment="1"/>
    <xf numFmtId="3" fontId="6" fillId="0" borderId="3" xfId="0" applyNumberFormat="1" applyFont="1" applyFill="1" applyBorder="1" applyAlignment="1"/>
    <xf numFmtId="3" fontId="4" fillId="0" borderId="2" xfId="0" applyNumberFormat="1" applyFont="1" applyFill="1" applyBorder="1" applyAlignment="1"/>
    <xf numFmtId="3" fontId="6" fillId="0" borderId="0" xfId="0" applyNumberFormat="1" applyFont="1" applyFill="1" applyAlignment="1"/>
    <xf numFmtId="0" fontId="14" fillId="0" borderId="5" xfId="0" applyNumberFormat="1" applyFont="1" applyFill="1" applyBorder="1" applyAlignment="1">
      <alignment horizontal="center"/>
    </xf>
    <xf numFmtId="3" fontId="6" fillId="0" borderId="0" xfId="0" applyNumberFormat="1" applyFont="1" applyFill="1" applyAlignment="1">
      <alignment horizontal="right"/>
    </xf>
    <xf numFmtId="3" fontId="15" fillId="0" borderId="0" xfId="0" applyNumberFormat="1" applyFont="1" applyFill="1" applyBorder="1" applyAlignment="1">
      <alignment horizontal="right"/>
    </xf>
    <xf numFmtId="3" fontId="14" fillId="0" borderId="4" xfId="0" applyNumberFormat="1" applyFont="1" applyFill="1" applyBorder="1" applyAlignment="1"/>
    <xf numFmtId="0" fontId="14" fillId="0" borderId="4" xfId="0" applyNumberFormat="1" applyFont="1" applyFill="1" applyBorder="1" applyAlignment="1">
      <alignment horizontal="center"/>
    </xf>
    <xf numFmtId="0" fontId="16" fillId="0" borderId="0" xfId="0" applyFont="1" applyFill="1" applyAlignment="1"/>
    <xf numFmtId="0" fontId="2" fillId="0" borderId="0" xfId="0" applyFont="1" applyFill="1"/>
    <xf numFmtId="0" fontId="2" fillId="0" borderId="0" xfId="0" applyFont="1" applyFill="1" applyAlignment="1">
      <alignment wrapText="1"/>
    </xf>
    <xf numFmtId="3" fontId="6" fillId="0" borderId="3" xfId="0" applyNumberFormat="1" applyFont="1" applyFill="1" applyBorder="1" applyAlignment="1">
      <alignment horizontal="left"/>
    </xf>
    <xf numFmtId="0" fontId="6" fillId="0" borderId="0" xfId="0" applyNumberFormat="1" applyFont="1" applyFill="1" applyBorder="1" applyAlignment="1"/>
    <xf numFmtId="3" fontId="6" fillId="0" borderId="0" xfId="0" applyNumberFormat="1" applyFont="1" applyFill="1" applyBorder="1" applyAlignment="1">
      <alignment horizontal="left"/>
    </xf>
    <xf numFmtId="3" fontId="6" fillId="0" borderId="0" xfId="0" applyNumberFormat="1" applyFont="1" applyFill="1" applyAlignment="1">
      <alignment horizontal="left"/>
    </xf>
    <xf numFmtId="0" fontId="6" fillId="0" borderId="1" xfId="0" applyFont="1" applyFill="1" applyBorder="1" applyAlignment="1">
      <alignment horizontal="left"/>
    </xf>
    <xf numFmtId="0" fontId="4" fillId="0" borderId="0" xfId="0" applyFont="1" applyFill="1" applyBorder="1" applyAlignment="1">
      <alignment horizontal="left"/>
    </xf>
    <xf numFmtId="3" fontId="4" fillId="0" borderId="2" xfId="0" applyNumberFormat="1" applyFont="1" applyFill="1" applyBorder="1" applyAlignment="1">
      <alignment horizontal="left"/>
    </xf>
    <xf numFmtId="3" fontId="33" fillId="0" borderId="0" xfId="0" applyNumberFormat="1" applyFont="1" applyFill="1"/>
    <xf numFmtId="3" fontId="33" fillId="0" borderId="3" xfId="0" applyNumberFormat="1" applyFont="1" applyFill="1" applyBorder="1"/>
    <xf numFmtId="0" fontId="24" fillId="0" borderId="6" xfId="0" applyFont="1" applyFill="1" applyBorder="1" applyAlignment="1">
      <alignment horizontal="center" vertical="top"/>
    </xf>
    <xf numFmtId="0" fontId="24" fillId="0" borderId="6" xfId="0" applyNumberFormat="1" applyFont="1" applyFill="1" applyBorder="1" applyAlignment="1">
      <alignment horizontal="center" vertical="top"/>
    </xf>
    <xf numFmtId="0" fontId="37" fillId="0" borderId="6" xfId="0" applyFont="1" applyFill="1" applyBorder="1"/>
    <xf numFmtId="0" fontId="2" fillId="0" borderId="0" xfId="0" applyFont="1" applyFill="1" applyAlignment="1">
      <alignment horizontal="center"/>
    </xf>
    <xf numFmtId="164" fontId="2" fillId="0" borderId="0" xfId="1" applyNumberFormat="1" applyFont="1" applyFill="1"/>
    <xf numFmtId="164" fontId="2" fillId="0" borderId="6" xfId="0" applyNumberFormat="1" applyFont="1" applyFill="1" applyBorder="1"/>
    <xf numFmtId="164" fontId="2" fillId="0" borderId="7" xfId="1" applyNumberFormat="1" applyFont="1" applyFill="1" applyBorder="1"/>
    <xf numFmtId="0" fontId="59" fillId="0" borderId="0" xfId="0" applyFont="1" applyFill="1" applyBorder="1"/>
    <xf numFmtId="3" fontId="60" fillId="0" borderId="0" xfId="0" applyNumberFormat="1" applyFont="1" applyFill="1" applyBorder="1" applyAlignment="1">
      <alignment horizontal="right"/>
    </xf>
    <xf numFmtId="0" fontId="4" fillId="0" borderId="2" xfId="0" applyFont="1" applyFill="1" applyBorder="1"/>
    <xf numFmtId="0" fontId="4" fillId="0" borderId="2" xfId="0" applyFont="1" applyFill="1" applyBorder="1" applyAlignment="1">
      <alignment horizontal="center"/>
    </xf>
    <xf numFmtId="3" fontId="4" fillId="0" borderId="2" xfId="0" applyNumberFormat="1" applyFont="1" applyFill="1" applyBorder="1"/>
    <xf numFmtId="0" fontId="17" fillId="0" borderId="2" xfId="0" applyNumberFormat="1" applyFont="1" applyFill="1" applyBorder="1" applyAlignment="1">
      <alignment horizontal="left"/>
    </xf>
    <xf numFmtId="0" fontId="4" fillId="0" borderId="2" xfId="0" applyFont="1" applyFill="1" applyBorder="1" applyAlignment="1"/>
    <xf numFmtId="0" fontId="4" fillId="0" borderId="2" xfId="0" applyNumberFormat="1" applyFont="1" applyFill="1" applyBorder="1" applyAlignment="1">
      <alignment horizontal="center"/>
    </xf>
    <xf numFmtId="0" fontId="4" fillId="0" borderId="2" xfId="0" applyFont="1" applyFill="1" applyBorder="1" applyAlignment="1">
      <alignment horizontal="right"/>
    </xf>
    <xf numFmtId="3" fontId="4" fillId="0" borderId="2" xfId="0" applyNumberFormat="1" applyFont="1" applyFill="1" applyBorder="1" applyAlignment="1">
      <alignment horizontal="right"/>
    </xf>
    <xf numFmtId="37" fontId="17" fillId="0" borderId="0" xfId="0" applyNumberFormat="1" applyFont="1" applyFill="1" applyBorder="1" applyAlignment="1">
      <alignment horizontal="right"/>
    </xf>
    <xf numFmtId="0" fontId="61" fillId="0" borderId="0" xfId="0" applyFont="1" applyFill="1" applyBorder="1"/>
    <xf numFmtId="0" fontId="2" fillId="0" borderId="6" xfId="0" applyFont="1" applyFill="1" applyBorder="1"/>
    <xf numFmtId="0" fontId="6" fillId="0" borderId="0" xfId="0" applyFont="1" applyFill="1" applyBorder="1" applyAlignment="1">
      <alignment wrapText="1"/>
    </xf>
    <xf numFmtId="0" fontId="3" fillId="0" borderId="14" xfId="0" applyFont="1" applyFill="1" applyBorder="1" applyAlignment="1">
      <alignment horizontal="center"/>
    </xf>
    <xf numFmtId="164" fontId="2" fillId="0" borderId="7" xfId="1" applyNumberFormat="1" applyFont="1" applyFill="1" applyBorder="1" applyAlignment="1">
      <alignment horizontal="center"/>
    </xf>
    <xf numFmtId="164" fontId="2" fillId="0" borderId="6" xfId="1" applyNumberFormat="1" applyFont="1" applyFill="1" applyBorder="1"/>
    <xf numFmtId="164" fontId="2" fillId="0" borderId="0" xfId="1" applyNumberFormat="1" applyFont="1" applyFill="1" applyBorder="1"/>
    <xf numFmtId="164" fontId="2" fillId="0" borderId="8" xfId="1" applyNumberFormat="1" applyFont="1" applyFill="1" applyBorder="1"/>
    <xf numFmtId="164" fontId="2" fillId="0" borderId="9" xfId="1" applyNumberFormat="1" applyFont="1" applyFill="1" applyBorder="1"/>
    <xf numFmtId="164" fontId="2" fillId="0" borderId="10" xfId="1" applyNumberFormat="1" applyFont="1" applyFill="1" applyBorder="1"/>
    <xf numFmtId="0" fontId="3" fillId="0" borderId="15" xfId="0" applyFont="1" applyFill="1" applyBorder="1" applyAlignment="1">
      <alignment horizontal="center"/>
    </xf>
    <xf numFmtId="0" fontId="3" fillId="0" borderId="6" xfId="0" applyFont="1" applyFill="1" applyBorder="1" applyAlignment="1">
      <alignment horizontal="center"/>
    </xf>
    <xf numFmtId="0" fontId="3" fillId="0" borderId="0" xfId="0" applyFont="1" applyFill="1" applyBorder="1" applyAlignment="1">
      <alignment horizontal="center"/>
    </xf>
    <xf numFmtId="0" fontId="3" fillId="0" borderId="7" xfId="0" applyFont="1" applyFill="1" applyBorder="1" applyAlignment="1">
      <alignment horizontal="center"/>
    </xf>
    <xf numFmtId="164" fontId="2" fillId="0" borderId="8" xfId="0" applyNumberFormat="1" applyFont="1" applyFill="1" applyBorder="1"/>
    <xf numFmtId="164" fontId="2" fillId="0" borderId="9" xfId="0" applyNumberFormat="1" applyFont="1" applyFill="1" applyBorder="1"/>
    <xf numFmtId="0" fontId="3" fillId="0" borderId="0" xfId="0" applyFont="1" applyFill="1" applyBorder="1"/>
    <xf numFmtId="0" fontId="61" fillId="0" borderId="26" xfId="0" applyFont="1" applyFill="1" applyBorder="1"/>
    <xf numFmtId="0" fontId="61" fillId="0" borderId="23" xfId="0" applyFont="1" applyFill="1" applyBorder="1" applyAlignment="1">
      <alignment horizontal="center"/>
    </xf>
    <xf numFmtId="0" fontId="2" fillId="0" borderId="26" xfId="0" applyFont="1" applyFill="1" applyBorder="1"/>
    <xf numFmtId="3" fontId="61" fillId="0" borderId="23" xfId="0" applyNumberFormat="1" applyFont="1" applyFill="1" applyBorder="1" applyAlignment="1">
      <alignment horizontal="center"/>
    </xf>
    <xf numFmtId="3" fontId="2" fillId="0" borderId="23" xfId="0" applyNumberFormat="1" applyFont="1" applyFill="1" applyBorder="1" applyAlignment="1">
      <alignment horizontal="center"/>
    </xf>
    <xf numFmtId="0" fontId="2" fillId="0" borderId="23" xfId="0" applyFont="1" applyFill="1" applyBorder="1" applyAlignment="1">
      <alignment horizontal="center"/>
    </xf>
    <xf numFmtId="0" fontId="2" fillId="0" borderId="23" xfId="0" applyFont="1" applyFill="1" applyBorder="1"/>
    <xf numFmtId="0" fontId="63" fillId="12" borderId="24" xfId="0" applyFont="1" applyFill="1" applyBorder="1" applyAlignment="1">
      <alignment horizontal="left"/>
    </xf>
    <xf numFmtId="0" fontId="2" fillId="12" borderId="1" xfId="0" applyFont="1" applyFill="1" applyBorder="1"/>
    <xf numFmtId="0" fontId="2" fillId="12" borderId="25" xfId="0" applyFont="1" applyFill="1" applyBorder="1"/>
    <xf numFmtId="0" fontId="33" fillId="0" borderId="0" xfId="0" applyFont="1" applyFill="1" applyBorder="1" applyAlignment="1">
      <alignment wrapText="1"/>
    </xf>
    <xf numFmtId="0" fontId="65" fillId="0" borderId="0" xfId="0" applyFont="1"/>
    <xf numFmtId="0" fontId="67" fillId="0" borderId="0" xfId="0" applyFont="1"/>
    <xf numFmtId="0" fontId="68" fillId="0" borderId="0" xfId="0" applyFont="1"/>
    <xf numFmtId="0" fontId="64" fillId="0" borderId="0" xfId="0" applyFont="1"/>
    <xf numFmtId="0" fontId="64" fillId="0" borderId="0" xfId="0" applyFont="1" applyAlignment="1">
      <alignment horizontal="right"/>
    </xf>
    <xf numFmtId="49" fontId="69" fillId="0" borderId="0" xfId="0" applyNumberFormat="1" applyFont="1" applyAlignment="1">
      <alignment horizontal="left" indent="1"/>
    </xf>
    <xf numFmtId="2" fontId="69" fillId="0" borderId="0" xfId="0" applyNumberFormat="1" applyFont="1" applyFill="1"/>
    <xf numFmtId="0" fontId="64" fillId="0" borderId="3" xfId="0" applyFont="1" applyBorder="1" applyAlignment="1">
      <alignment horizontal="right"/>
    </xf>
    <xf numFmtId="49" fontId="65" fillId="0" borderId="0" xfId="0" applyNumberFormat="1" applyFont="1" applyAlignment="1">
      <alignment horizontal="left" indent="1"/>
    </xf>
    <xf numFmtId="2" fontId="66" fillId="0" borderId="0" xfId="0" applyNumberFormat="1" applyFont="1" applyAlignment="1">
      <alignment horizontal="left"/>
    </xf>
    <xf numFmtId="0" fontId="66" fillId="0" borderId="0" xfId="0" applyFont="1"/>
    <xf numFmtId="0" fontId="66" fillId="0" borderId="0" xfId="0" applyFont="1" applyAlignment="1">
      <alignment horizontal="right"/>
    </xf>
    <xf numFmtId="2" fontId="65" fillId="0" borderId="0" xfId="0" applyNumberFormat="1" applyFont="1"/>
    <xf numFmtId="49" fontId="70" fillId="0" borderId="0" xfId="0" applyNumberFormat="1" applyFont="1" applyFill="1" applyAlignment="1">
      <alignment horizontal="left" indent="1"/>
    </xf>
    <xf numFmtId="0" fontId="71" fillId="0" borderId="0" xfId="0" applyFont="1" applyFill="1"/>
    <xf numFmtId="2" fontId="71" fillId="0" borderId="0" xfId="0" applyNumberFormat="1" applyFont="1" applyFill="1"/>
    <xf numFmtId="0" fontId="64" fillId="0" borderId="3" xfId="0" applyFont="1" applyBorder="1"/>
    <xf numFmtId="2" fontId="66" fillId="0" borderId="0" xfId="0" applyNumberFormat="1" applyFont="1" applyAlignment="1">
      <alignment horizontal="right"/>
    </xf>
    <xf numFmtId="0" fontId="65" fillId="0" borderId="0" xfId="0" applyFont="1" applyAlignment="1">
      <alignment horizontal="right"/>
    </xf>
    <xf numFmtId="3" fontId="6" fillId="0" borderId="0" xfId="0" applyNumberFormat="1" applyFont="1" applyAlignment="1"/>
    <xf numFmtId="0" fontId="2" fillId="0" borderId="22" xfId="0" applyFont="1" applyBorder="1" applyAlignment="1">
      <alignment horizontal="left"/>
    </xf>
    <xf numFmtId="0" fontId="2" fillId="0" borderId="22" xfId="0" applyFont="1" applyFill="1" applyBorder="1"/>
    <xf numFmtId="0" fontId="2" fillId="0" borderId="22" xfId="0" applyFont="1" applyBorder="1"/>
    <xf numFmtId="37" fontId="2" fillId="2" borderId="22" xfId="0" applyNumberFormat="1" applyFont="1" applyFill="1" applyBorder="1"/>
    <xf numFmtId="0" fontId="2" fillId="8" borderId="22" xfId="0" applyFont="1" applyFill="1" applyBorder="1" applyAlignment="1">
      <alignment horizontal="left" wrapText="1"/>
    </xf>
    <xf numFmtId="0" fontId="2" fillId="0" borderId="22" xfId="0" applyFont="1" applyFill="1" applyBorder="1" applyAlignment="1">
      <alignment horizontal="left"/>
    </xf>
    <xf numFmtId="0" fontId="2" fillId="0" borderId="22" xfId="0" applyFont="1" applyBorder="1" applyAlignment="1">
      <alignment horizontal="center"/>
    </xf>
    <xf numFmtId="0" fontId="2" fillId="2" borderId="22" xfId="0" applyFont="1" applyFill="1" applyBorder="1"/>
    <xf numFmtId="164" fontId="3" fillId="0" borderId="0" xfId="1" applyNumberFormat="1" applyFont="1" applyAlignment="1">
      <alignment horizontal="center"/>
    </xf>
    <xf numFmtId="3" fontId="2" fillId="0" borderId="6" xfId="0" applyNumberFormat="1" applyFont="1" applyBorder="1" applyAlignment="1">
      <alignment horizontal="center"/>
    </xf>
    <xf numFmtId="3" fontId="2" fillId="0" borderId="0" xfId="0" applyNumberFormat="1" applyFont="1" applyBorder="1" applyAlignment="1">
      <alignment horizontal="center"/>
    </xf>
    <xf numFmtId="3" fontId="6"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0" fontId="8" fillId="0" borderId="0" xfId="0" applyNumberFormat="1" applyFont="1" applyFill="1" applyBorder="1" applyAlignment="1">
      <alignment horizontal="center"/>
    </xf>
    <xf numFmtId="0" fontId="24" fillId="0" borderId="7" xfId="0" applyNumberFormat="1" applyFont="1" applyFill="1" applyBorder="1" applyAlignment="1">
      <alignment horizontal="left" vertical="top" wrapText="1"/>
    </xf>
    <xf numFmtId="3" fontId="2" fillId="0" borderId="8" xfId="0" applyNumberFormat="1" applyFont="1" applyBorder="1" applyAlignment="1">
      <alignment horizontal="right"/>
    </xf>
    <xf numFmtId="3" fontId="2" fillId="0" borderId="9" xfId="0" applyNumberFormat="1" applyFont="1" applyBorder="1" applyAlignment="1">
      <alignment horizontal="center"/>
    </xf>
    <xf numFmtId="4" fontId="2" fillId="0" borderId="9" xfId="0" applyNumberFormat="1" applyFont="1" applyBorder="1" applyAlignment="1">
      <alignment horizontal="center"/>
    </xf>
    <xf numFmtId="164" fontId="24" fillId="0" borderId="0" xfId="1" applyNumberFormat="1" applyFont="1" applyFill="1" applyBorder="1" applyAlignment="1">
      <alignment horizontal="center"/>
    </xf>
    <xf numFmtId="164" fontId="2" fillId="0" borderId="6" xfId="1" applyNumberFormat="1" applyFont="1" applyBorder="1"/>
    <xf numFmtId="0" fontId="2" fillId="0" borderId="16" xfId="0" applyFont="1" applyBorder="1"/>
    <xf numFmtId="0" fontId="3" fillId="0" borderId="14" xfId="0" applyFont="1" applyBorder="1" applyAlignment="1">
      <alignment horizontal="center"/>
    </xf>
    <xf numFmtId="0" fontId="3" fillId="0" borderId="15" xfId="0" applyFont="1" applyBorder="1" applyAlignment="1">
      <alignment horizontal="center"/>
    </xf>
    <xf numFmtId="0" fontId="2" fillId="0" borderId="15" xfId="0" applyFont="1" applyBorder="1"/>
    <xf numFmtId="0" fontId="2" fillId="0" borderId="0" xfId="0" applyFont="1" applyBorder="1" applyAlignment="1">
      <alignment horizontal="center"/>
    </xf>
    <xf numFmtId="0" fontId="2" fillId="2" borderId="6" xfId="0" applyFont="1" applyFill="1" applyBorder="1" applyAlignment="1">
      <alignment horizontal="center"/>
    </xf>
    <xf numFmtId="0" fontId="2" fillId="0" borderId="7" xfId="0" applyFont="1" applyBorder="1" applyAlignment="1">
      <alignment horizontal="center"/>
    </xf>
    <xf numFmtId="0" fontId="3" fillId="0" borderId="6"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2" fillId="0" borderId="7" xfId="0" applyFont="1" applyBorder="1"/>
    <xf numFmtId="0" fontId="2" fillId="0" borderId="6" xfId="0" applyFont="1" applyBorder="1"/>
    <xf numFmtId="164" fontId="2" fillId="0" borderId="7" xfId="1" applyNumberFormat="1" applyFont="1" applyBorder="1" applyAlignment="1">
      <alignment horizontal="center"/>
    </xf>
    <xf numFmtId="0" fontId="2" fillId="0" borderId="6" xfId="0" applyFont="1" applyBorder="1" applyAlignment="1">
      <alignment horizontal="center"/>
    </xf>
    <xf numFmtId="0" fontId="2" fillId="0" borderId="0" xfId="0" applyFont="1" applyBorder="1"/>
    <xf numFmtId="164" fontId="2" fillId="0" borderId="7" xfId="1" applyNumberFormat="1" applyFont="1" applyBorder="1"/>
    <xf numFmtId="0" fontId="2" fillId="0" borderId="6" xfId="0" applyFont="1" applyFill="1" applyBorder="1" applyAlignment="1">
      <alignment horizontal="right"/>
    </xf>
    <xf numFmtId="176" fontId="2" fillId="0" borderId="6" xfId="0" applyNumberFormat="1" applyFont="1" applyBorder="1"/>
    <xf numFmtId="166" fontId="2" fillId="0" borderId="0" xfId="0" applyNumberFormat="1" applyFont="1" applyBorder="1"/>
    <xf numFmtId="164" fontId="2" fillId="2" borderId="6" xfId="1" applyNumberFormat="1" applyFont="1" applyFill="1" applyBorder="1"/>
    <xf numFmtId="164" fontId="2" fillId="0" borderId="0" xfId="1" applyNumberFormat="1" applyFont="1" applyBorder="1"/>
    <xf numFmtId="43" fontId="2" fillId="0" borderId="0" xfId="1" applyFont="1"/>
    <xf numFmtId="0" fontId="2" fillId="0" borderId="7" xfId="0" applyFont="1" applyFill="1" applyBorder="1"/>
    <xf numFmtId="0" fontId="2" fillId="0" borderId="8" xfId="0" applyFont="1" applyBorder="1"/>
    <xf numFmtId="0" fontId="2" fillId="0" borderId="9" xfId="0" applyFont="1" applyBorder="1" applyAlignment="1">
      <alignment horizontal="center"/>
    </xf>
    <xf numFmtId="164" fontId="2" fillId="0" borderId="8" xfId="1" applyNumberFormat="1" applyFont="1" applyBorder="1"/>
    <xf numFmtId="164" fontId="2" fillId="0" borderId="9" xfId="1" applyNumberFormat="1" applyFont="1" applyBorder="1"/>
    <xf numFmtId="164" fontId="2" fillId="0" borderId="10" xfId="1" applyNumberFormat="1" applyFont="1" applyBorder="1"/>
    <xf numFmtId="0" fontId="2" fillId="0" borderId="10" xfId="0" applyFont="1" applyBorder="1"/>
    <xf numFmtId="0" fontId="3" fillId="0" borderId="17" xfId="0" applyFont="1" applyBorder="1" applyAlignment="1">
      <alignment horizontal="center"/>
    </xf>
    <xf numFmtId="164" fontId="3" fillId="0" borderId="15" xfId="1" applyNumberFormat="1" applyFont="1" applyBorder="1" applyAlignment="1">
      <alignment horizontal="center"/>
    </xf>
    <xf numFmtId="0" fontId="3" fillId="0" borderId="17" xfId="0" applyFont="1" applyFill="1" applyBorder="1" applyAlignment="1">
      <alignment horizontal="center"/>
    </xf>
    <xf numFmtId="0" fontId="2" fillId="0" borderId="18" xfId="0" applyFont="1" applyBorder="1" applyAlignment="1">
      <alignment horizontal="center"/>
    </xf>
    <xf numFmtId="164" fontId="2" fillId="0" borderId="0" xfId="0" applyNumberFormat="1" applyFont="1" applyBorder="1"/>
    <xf numFmtId="164" fontId="2" fillId="0" borderId="6" xfId="0" applyNumberFormat="1" applyFont="1" applyBorder="1"/>
    <xf numFmtId="167" fontId="2" fillId="0" borderId="18" xfId="2" applyNumberFormat="1" applyFont="1" applyBorder="1"/>
    <xf numFmtId="167" fontId="2" fillId="0" borderId="7" xfId="0" applyNumberFormat="1" applyFont="1" applyBorder="1"/>
    <xf numFmtId="167" fontId="2" fillId="0" borderId="0" xfId="0" applyNumberFormat="1" applyFont="1" applyBorder="1"/>
    <xf numFmtId="164" fontId="2" fillId="0" borderId="0" xfId="0" applyNumberFormat="1" applyFont="1"/>
    <xf numFmtId="167" fontId="2" fillId="0" borderId="0" xfId="0" applyNumberFormat="1" applyFont="1"/>
    <xf numFmtId="167" fontId="2" fillId="0" borderId="18" xfId="2" applyNumberFormat="1" applyFont="1" applyFill="1" applyBorder="1"/>
    <xf numFmtId="164" fontId="3" fillId="0" borderId="0" xfId="0" applyNumberFormat="1" applyFont="1" applyBorder="1"/>
    <xf numFmtId="164" fontId="3" fillId="0" borderId="7" xfId="1" applyNumberFormat="1" applyFont="1" applyBorder="1"/>
    <xf numFmtId="164" fontId="3" fillId="0" borderId="0" xfId="0" applyNumberFormat="1" applyFont="1" applyFill="1" applyBorder="1"/>
    <xf numFmtId="164" fontId="3" fillId="0" borderId="7" xfId="1" applyNumberFormat="1" applyFont="1" applyFill="1" applyBorder="1"/>
    <xf numFmtId="164" fontId="3" fillId="0" borderId="0" xfId="1" applyNumberFormat="1" applyFont="1" applyFill="1" applyBorder="1"/>
    <xf numFmtId="164" fontId="3" fillId="0" borderId="8" xfId="0" applyNumberFormat="1" applyFont="1" applyBorder="1"/>
    <xf numFmtId="164" fontId="3" fillId="0" borderId="19" xfId="0" applyNumberFormat="1" applyFont="1" applyBorder="1"/>
    <xf numFmtId="164" fontId="3" fillId="0" borderId="9" xfId="0" applyNumberFormat="1" applyFont="1" applyBorder="1"/>
    <xf numFmtId="164" fontId="3" fillId="0" borderId="10" xfId="1" applyNumberFormat="1" applyFont="1" applyBorder="1"/>
    <xf numFmtId="164" fontId="3" fillId="0" borderId="9" xfId="0" applyNumberFormat="1" applyFont="1" applyFill="1" applyBorder="1"/>
    <xf numFmtId="164" fontId="3" fillId="0" borderId="10" xfId="1" applyNumberFormat="1" applyFont="1" applyFill="1" applyBorder="1"/>
    <xf numFmtId="164" fontId="3" fillId="0" borderId="9" xfId="1" applyNumberFormat="1" applyFont="1" applyFill="1" applyBorder="1"/>
    <xf numFmtId="167" fontId="2" fillId="0" borderId="19" xfId="2" applyNumberFormat="1" applyFont="1" applyBorder="1"/>
    <xf numFmtId="167" fontId="2" fillId="0" borderId="9" xfId="0" applyNumberFormat="1" applyFont="1" applyBorder="1"/>
    <xf numFmtId="176" fontId="2" fillId="0" borderId="6" xfId="0" applyNumberFormat="1" applyFont="1" applyFill="1" applyBorder="1"/>
    <xf numFmtId="176" fontId="2" fillId="0" borderId="6" xfId="0" applyNumberFormat="1" applyFont="1" applyFill="1" applyBorder="1" applyAlignment="1">
      <alignment horizontal="right"/>
    </xf>
    <xf numFmtId="43" fontId="2" fillId="0" borderId="0" xfId="1" applyFont="1" applyBorder="1"/>
    <xf numFmtId="167" fontId="2" fillId="0" borderId="0" xfId="0" applyNumberFormat="1" applyFont="1" applyFill="1"/>
    <xf numFmtId="173" fontId="2" fillId="0" borderId="6" xfId="0" applyNumberFormat="1" applyFont="1" applyBorder="1"/>
    <xf numFmtId="3" fontId="6" fillId="2" borderId="0" xfId="0" applyNumberFormat="1" applyFont="1" applyFill="1" applyAlignment="1"/>
    <xf numFmtId="3" fontId="6" fillId="0" borderId="1" xfId="0" applyNumberFormat="1" applyFont="1" applyFill="1" applyBorder="1" applyAlignment="1"/>
    <xf numFmtId="43" fontId="4" fillId="0" borderId="0" xfId="1" applyFont="1" applyAlignment="1"/>
    <xf numFmtId="43" fontId="4" fillId="0" borderId="0" xfId="1" applyFont="1" applyFill="1"/>
    <xf numFmtId="3" fontId="4" fillId="0" borderId="0" xfId="0" applyNumberFormat="1" applyFont="1" applyFill="1"/>
    <xf numFmtId="164" fontId="6" fillId="0" borderId="0" xfId="0" applyNumberFormat="1" applyFont="1" applyFill="1"/>
    <xf numFmtId="3" fontId="6" fillId="0" borderId="0" xfId="0" applyNumberFormat="1" applyFont="1" applyFill="1"/>
    <xf numFmtId="0" fontId="4" fillId="0" borderId="1" xfId="0" applyNumberFormat="1" applyFont="1" applyFill="1" applyBorder="1" applyAlignment="1">
      <alignment horizontal="left"/>
    </xf>
    <xf numFmtId="0" fontId="3" fillId="0" borderId="0" xfId="0" applyFont="1" applyFill="1"/>
    <xf numFmtId="3" fontId="31" fillId="0" borderId="8" xfId="0" applyNumberFormat="1" applyFont="1" applyFill="1" applyBorder="1" applyAlignment="1">
      <alignment horizontal="center"/>
    </xf>
    <xf numFmtId="3" fontId="31" fillId="0" borderId="9" xfId="0" applyNumberFormat="1" applyFont="1" applyFill="1" applyBorder="1" applyAlignment="1">
      <alignment horizontal="center"/>
    </xf>
    <xf numFmtId="0" fontId="34" fillId="0" borderId="0" xfId="0" applyFont="1" applyFill="1" applyBorder="1" applyAlignment="1">
      <alignment horizontal="center"/>
    </xf>
    <xf numFmtId="3" fontId="2" fillId="0" borderId="3" xfId="0" applyNumberFormat="1" applyFont="1" applyFill="1" applyBorder="1" applyAlignment="1">
      <alignment horizontal="center"/>
    </xf>
    <xf numFmtId="177" fontId="11" fillId="0" borderId="0" xfId="0" applyNumberFormat="1" applyFont="1" applyFill="1"/>
    <xf numFmtId="0" fontId="3" fillId="0" borderId="0" xfId="0" applyFont="1" applyFill="1" applyAlignment="1">
      <alignment horizontal="center"/>
    </xf>
    <xf numFmtId="0" fontId="14" fillId="0" borderId="0" xfId="0" applyFont="1" applyAlignment="1">
      <alignment horizontal="center"/>
    </xf>
    <xf numFmtId="0" fontId="43" fillId="0" borderId="0" xfId="0" applyFont="1" applyAlignment="1">
      <alignment horizontal="center"/>
    </xf>
    <xf numFmtId="0" fontId="3" fillId="0" borderId="0" xfId="0" applyFont="1" applyAlignment="1">
      <alignment horizontal="center"/>
    </xf>
    <xf numFmtId="0" fontId="47" fillId="6" borderId="16" xfId="0" applyFont="1" applyFill="1" applyBorder="1" applyAlignment="1">
      <alignment horizontal="center"/>
    </xf>
    <xf numFmtId="0" fontId="47" fillId="6" borderId="14" xfId="0" applyFont="1" applyFill="1" applyBorder="1" applyAlignment="1">
      <alignment horizontal="center"/>
    </xf>
    <xf numFmtId="0" fontId="30" fillId="6" borderId="14" xfId="0" applyFont="1" applyFill="1" applyBorder="1" applyAlignment="1">
      <alignment horizontal="center" wrapText="1"/>
    </xf>
    <xf numFmtId="0" fontId="30" fillId="0" borderId="0" xfId="0" applyFont="1" applyFill="1" applyBorder="1" applyAlignment="1">
      <alignment horizontal="center" wrapText="1"/>
    </xf>
    <xf numFmtId="0" fontId="31" fillId="0" borderId="0" xfId="0" applyFont="1" applyFill="1" applyBorder="1" applyAlignment="1">
      <alignment horizontal="center" wrapText="1"/>
    </xf>
    <xf numFmtId="0" fontId="34" fillId="0" borderId="0" xfId="0" applyFont="1" applyFill="1" applyBorder="1" applyAlignment="1">
      <alignment horizontal="center" wrapText="1"/>
    </xf>
    <xf numFmtId="0" fontId="34" fillId="0" borderId="9" xfId="0" applyFont="1" applyFill="1" applyBorder="1" applyAlignment="1">
      <alignment horizontal="center" wrapText="1"/>
    </xf>
    <xf numFmtId="0" fontId="31" fillId="0" borderId="9" xfId="0" applyFont="1" applyFill="1" applyBorder="1" applyAlignment="1">
      <alignment horizontal="center" wrapText="1"/>
    </xf>
    <xf numFmtId="0" fontId="31" fillId="0" borderId="7" xfId="0" applyFont="1" applyFill="1" applyBorder="1" applyAlignment="1">
      <alignment horizontal="center" wrapText="1"/>
    </xf>
    <xf numFmtId="0" fontId="31" fillId="0" borderId="10" xfId="0" applyFont="1" applyFill="1" applyBorder="1" applyAlignment="1">
      <alignment horizontal="center" wrapText="1"/>
    </xf>
    <xf numFmtId="0" fontId="2" fillId="0" borderId="6" xfId="0" applyFont="1" applyFill="1" applyBorder="1" applyAlignment="1">
      <alignment horizontal="center"/>
    </xf>
    <xf numFmtId="0" fontId="2" fillId="0" borderId="0" xfId="0" applyFont="1" applyFill="1" applyBorder="1" applyAlignment="1">
      <alignment horizontal="center"/>
    </xf>
    <xf numFmtId="0" fontId="2" fillId="0" borderId="7" xfId="0" applyFont="1" applyFill="1" applyBorder="1" applyAlignment="1">
      <alignment horizontal="center"/>
    </xf>
    <xf numFmtId="0" fontId="3" fillId="0" borderId="16" xfId="0" applyFont="1" applyBorder="1" applyAlignment="1">
      <alignment horizontal="center"/>
    </xf>
    <xf numFmtId="0" fontId="2" fillId="0" borderId="14" xfId="0" applyFont="1" applyBorder="1" applyAlignment="1">
      <alignment horizontal="center"/>
    </xf>
    <xf numFmtId="0" fontId="3" fillId="0" borderId="16" xfId="0" applyFont="1" applyFill="1" applyBorder="1" applyAlignment="1">
      <alignment horizontal="center"/>
    </xf>
    <xf numFmtId="0" fontId="4" fillId="7" borderId="9" xfId="0" applyFont="1" applyFill="1" applyBorder="1" applyAlignment="1"/>
    <xf numFmtId="0" fontId="4" fillId="0" borderId="0" xfId="0" applyFont="1" applyFill="1" applyBorder="1" applyAlignment="1"/>
    <xf numFmtId="0" fontId="72" fillId="5" borderId="0" xfId="0" applyFont="1" applyFill="1" applyBorder="1" applyAlignment="1">
      <alignment horizontal="left"/>
    </xf>
    <xf numFmtId="0" fontId="72" fillId="5" borderId="0" xfId="0" applyFont="1" applyFill="1" applyBorder="1" applyAlignment="1"/>
    <xf numFmtId="0" fontId="73" fillId="5" borderId="0" xfId="0" applyNumberFormat="1" applyFont="1" applyFill="1" applyBorder="1" applyAlignment="1">
      <alignment horizontal="center"/>
    </xf>
    <xf numFmtId="0" fontId="72" fillId="5" borderId="0" xfId="0" applyFont="1" applyFill="1" applyBorder="1"/>
    <xf numFmtId="0" fontId="72" fillId="5" borderId="0" xfId="0" applyFont="1" applyFill="1" applyBorder="1" applyAlignment="1">
      <alignment horizontal="center" wrapText="1"/>
    </xf>
    <xf numFmtId="0" fontId="72" fillId="5" borderId="0" xfId="0" applyFont="1" applyFill="1"/>
    <xf numFmtId="0" fontId="6" fillId="0" borderId="1" xfId="0" applyNumberFormat="1" applyFont="1" applyBorder="1" applyAlignment="1"/>
    <xf numFmtId="3" fontId="6" fillId="0" borderId="1" xfId="0" applyNumberFormat="1" applyFont="1" applyBorder="1" applyAlignment="1"/>
    <xf numFmtId="3" fontId="6" fillId="0" borderId="1" xfId="0" applyNumberFormat="1" applyFont="1" applyBorder="1" applyAlignment="1">
      <alignment horizontal="center"/>
    </xf>
    <xf numFmtId="0" fontId="6" fillId="0" borderId="0" xfId="0" applyNumberFormat="1" applyFont="1" applyAlignment="1"/>
    <xf numFmtId="3" fontId="6" fillId="0" borderId="2" xfId="0" applyNumberFormat="1" applyFont="1" applyFill="1" applyBorder="1" applyAlignment="1">
      <alignment horizontal="center"/>
    </xf>
    <xf numFmtId="3" fontId="6" fillId="0" borderId="2" xfId="0" applyNumberFormat="1" applyFont="1" applyBorder="1" applyAlignment="1"/>
    <xf numFmtId="3" fontId="6" fillId="0" borderId="0" xfId="0" applyNumberFormat="1" applyFont="1" applyFill="1" applyAlignment="1">
      <alignment horizontal="center"/>
    </xf>
    <xf numFmtId="3" fontId="6" fillId="0" borderId="3" xfId="0" applyNumberFormat="1" applyFont="1" applyBorder="1" applyAlignment="1"/>
    <xf numFmtId="0" fontId="6" fillId="0" borderId="0" xfId="0" applyNumberFormat="1" applyFont="1" applyFill="1" applyAlignment="1"/>
    <xf numFmtId="0" fontId="6" fillId="0" borderId="0" xfId="0" applyNumberFormat="1" applyFont="1" applyFill="1" applyAlignment="1">
      <alignment horizontal="center" vertical="top"/>
    </xf>
    <xf numFmtId="0" fontId="6" fillId="0" borderId="3" xfId="0" applyNumberFormat="1" applyFont="1" applyBorder="1" applyAlignment="1"/>
    <xf numFmtId="3" fontId="6" fillId="2" borderId="3" xfId="0" applyNumberFormat="1" applyFont="1" applyFill="1" applyBorder="1" applyAlignment="1"/>
    <xf numFmtId="3" fontId="6" fillId="2" borderId="0" xfId="0" applyNumberFormat="1" applyFont="1" applyFill="1" applyBorder="1" applyAlignment="1"/>
    <xf numFmtId="174" fontId="6" fillId="0" borderId="0" xfId="5" applyNumberFormat="1" applyFont="1" applyAlignment="1"/>
    <xf numFmtId="168" fontId="6" fillId="0" borderId="0" xfId="0" applyNumberFormat="1" applyFont="1" applyAlignment="1">
      <alignment horizontal="center"/>
    </xf>
    <xf numFmtId="0" fontId="6" fillId="0" borderId="0" xfId="0" applyNumberFormat="1" applyFont="1" applyBorder="1" applyAlignment="1"/>
    <xf numFmtId="3" fontId="6" fillId="0" borderId="0" xfId="0" applyNumberFormat="1" applyFont="1" applyBorder="1" applyAlignment="1">
      <alignment horizontal="center"/>
    </xf>
    <xf numFmtId="174" fontId="6" fillId="0" borderId="0" xfId="5" applyNumberFormat="1" applyFont="1" applyBorder="1" applyAlignment="1"/>
    <xf numFmtId="0" fontId="74" fillId="0" borderId="0" xfId="0" applyFont="1" applyAlignment="1">
      <alignment horizontal="left"/>
    </xf>
    <xf numFmtId="0" fontId="74" fillId="0" borderId="0" xfId="0" applyFont="1"/>
    <xf numFmtId="0" fontId="4" fillId="0" borderId="1" xfId="0" applyFont="1" applyFill="1" applyBorder="1"/>
    <xf numFmtId="0" fontId="4" fillId="0" borderId="1" xfId="0" applyNumberFormat="1" applyFont="1" applyBorder="1" applyAlignment="1">
      <alignment horizontal="center"/>
    </xf>
    <xf numFmtId="0" fontId="4" fillId="0" borderId="0" xfId="0" applyNumberFormat="1" applyFont="1" applyFill="1" applyAlignment="1">
      <alignment horizontal="right"/>
    </xf>
    <xf numFmtId="0" fontId="4" fillId="0" borderId="1" xfId="0" applyFont="1" applyBorder="1" applyAlignment="1">
      <alignment horizontal="left"/>
    </xf>
    <xf numFmtId="0" fontId="4" fillId="0" borderId="1" xfId="0" applyFont="1" applyBorder="1" applyAlignment="1">
      <alignment horizontal="center"/>
    </xf>
    <xf numFmtId="0" fontId="4" fillId="0" borderId="0" xfId="0" applyFont="1" applyBorder="1" applyAlignment="1">
      <alignment horizontal="left"/>
    </xf>
    <xf numFmtId="0" fontId="4" fillId="0" borderId="0" xfId="0" applyFont="1" applyBorder="1"/>
    <xf numFmtId="0" fontId="73" fillId="5" borderId="0" xfId="0" applyFont="1" applyFill="1" applyAlignment="1">
      <alignment horizontal="left"/>
    </xf>
    <xf numFmtId="0" fontId="73" fillId="5" borderId="0" xfId="0" applyFont="1" applyFill="1" applyAlignment="1"/>
    <xf numFmtId="0" fontId="73" fillId="5" borderId="0" xfId="0" applyNumberFormat="1" applyFont="1" applyFill="1" applyAlignment="1">
      <alignment horizontal="left"/>
    </xf>
    <xf numFmtId="0" fontId="72" fillId="5" borderId="0" xfId="0" applyFont="1" applyFill="1" applyAlignment="1"/>
    <xf numFmtId="0" fontId="73" fillId="5" borderId="0" xfId="0" applyNumberFormat="1" applyFont="1" applyFill="1" applyAlignment="1">
      <alignment horizontal="center"/>
    </xf>
    <xf numFmtId="3" fontId="6" fillId="0" borderId="1" xfId="0" applyNumberFormat="1" applyFont="1" applyFill="1" applyBorder="1" applyAlignment="1">
      <alignment horizontal="center"/>
    </xf>
    <xf numFmtId="3" fontId="6" fillId="0" borderId="2" xfId="0" applyNumberFormat="1" applyFont="1" applyBorder="1" applyAlignment="1">
      <alignment horizontal="center"/>
    </xf>
    <xf numFmtId="0" fontId="6" fillId="0" borderId="0" xfId="0" applyNumberFormat="1" applyFont="1" applyFill="1" applyBorder="1" applyAlignment="1">
      <alignment horizontal="left"/>
    </xf>
    <xf numFmtId="0" fontId="72" fillId="5" borderId="0" xfId="0" applyFont="1" applyFill="1" applyBorder="1" applyAlignment="1">
      <alignment horizontal="center"/>
    </xf>
    <xf numFmtId="165" fontId="6" fillId="0" borderId="3" xfId="3" applyFont="1" applyFill="1" applyBorder="1" applyAlignment="1">
      <alignment vertical="center"/>
    </xf>
    <xf numFmtId="3" fontId="6" fillId="2" borderId="3" xfId="0" applyNumberFormat="1" applyFont="1" applyFill="1" applyBorder="1" applyAlignment="1">
      <alignment horizontal="right"/>
    </xf>
    <xf numFmtId="3" fontId="6" fillId="4" borderId="0" xfId="0" applyNumberFormat="1" applyFont="1" applyFill="1" applyAlignment="1"/>
    <xf numFmtId="3" fontId="6" fillId="4" borderId="0" xfId="0" applyNumberFormat="1" applyFont="1" applyFill="1" applyAlignment="1">
      <alignment horizontal="center"/>
    </xf>
    <xf numFmtId="3" fontId="6" fillId="4" borderId="3" xfId="0" applyNumberFormat="1" applyFont="1" applyFill="1" applyBorder="1" applyAlignment="1"/>
    <xf numFmtId="3" fontId="6" fillId="0" borderId="3" xfId="0" applyNumberFormat="1" applyFont="1" applyFill="1" applyBorder="1" applyAlignment="1">
      <alignment horizontal="center"/>
    </xf>
    <xf numFmtId="0" fontId="6" fillId="0" borderId="1" xfId="0" applyNumberFormat="1" applyFont="1" applyFill="1" applyBorder="1" applyAlignment="1"/>
    <xf numFmtId="9" fontId="6" fillId="0" borderId="0" xfId="0" applyNumberFormat="1" applyFont="1" applyAlignment="1"/>
    <xf numFmtId="3" fontId="6" fillId="0" borderId="0" xfId="0" applyNumberFormat="1" applyFont="1" applyAlignment="1">
      <alignment horizontal="left"/>
    </xf>
    <xf numFmtId="166" fontId="6" fillId="0" borderId="0" xfId="0" applyNumberFormat="1" applyFont="1" applyAlignment="1"/>
    <xf numFmtId="3" fontId="6" fillId="0" borderId="0" xfId="0" quotePrefix="1" applyNumberFormat="1" applyFont="1" applyAlignment="1">
      <alignment horizontal="right"/>
    </xf>
    <xf numFmtId="3" fontId="6" fillId="0" borderId="3" xfId="0" applyNumberFormat="1" applyFont="1" applyBorder="1" applyAlignment="1">
      <alignment horizontal="right"/>
    </xf>
    <xf numFmtId="166" fontId="6" fillId="0" borderId="3" xfId="0" applyNumberFormat="1" applyFont="1" applyBorder="1" applyAlignment="1"/>
    <xf numFmtId="43" fontId="72" fillId="5" borderId="0" xfId="0" applyNumberFormat="1" applyFont="1" applyFill="1"/>
    <xf numFmtId="169" fontId="6" fillId="0" borderId="0" xfId="0" applyNumberFormat="1" applyFont="1" applyAlignment="1">
      <alignment horizontal="center"/>
    </xf>
    <xf numFmtId="170" fontId="6" fillId="0" borderId="0" xfId="0" applyNumberFormat="1" applyFont="1" applyAlignment="1"/>
    <xf numFmtId="168" fontId="6" fillId="0" borderId="0" xfId="0" applyNumberFormat="1" applyFont="1" applyAlignment="1">
      <alignment horizontal="left"/>
    </xf>
    <xf numFmtId="10" fontId="6" fillId="0" borderId="0" xfId="5" applyNumberFormat="1" applyFont="1" applyAlignment="1"/>
    <xf numFmtId="10" fontId="6" fillId="0" borderId="0" xfId="5" applyNumberFormat="1" applyFont="1" applyFill="1" applyAlignment="1"/>
    <xf numFmtId="169" fontId="6" fillId="0" borderId="0" xfId="0" applyNumberFormat="1" applyFont="1" applyAlignment="1"/>
    <xf numFmtId="174" fontId="6" fillId="0" borderId="0" xfId="5" applyNumberFormat="1" applyFont="1" applyFill="1" applyAlignment="1">
      <alignment horizontal="right"/>
    </xf>
    <xf numFmtId="0" fontId="73" fillId="0" borderId="0" xfId="0" applyFont="1" applyFill="1" applyAlignment="1">
      <alignment horizontal="left"/>
    </xf>
    <xf numFmtId="0" fontId="72" fillId="0" borderId="0" xfId="0" applyFont="1" applyFill="1"/>
    <xf numFmtId="168" fontId="6" fillId="0" borderId="0" xfId="0" applyNumberFormat="1" applyFont="1" applyBorder="1" applyAlignment="1">
      <alignment horizontal="left"/>
    </xf>
    <xf numFmtId="0" fontId="14" fillId="0" borderId="4" xfId="0" applyNumberFormat="1" applyFont="1" applyFill="1" applyBorder="1" applyAlignment="1"/>
    <xf numFmtId="0" fontId="14" fillId="0" borderId="4" xfId="0" applyFont="1" applyFill="1" applyBorder="1" applyAlignment="1"/>
    <xf numFmtId="3" fontId="14" fillId="0" borderId="4" xfId="0" applyNumberFormat="1" applyFont="1" applyBorder="1" applyAlignment="1">
      <alignment horizontal="center"/>
    </xf>
    <xf numFmtId="0" fontId="14" fillId="0" borderId="0" xfId="0" applyNumberFormat="1" applyFont="1" applyFill="1" applyBorder="1" applyAlignment="1"/>
    <xf numFmtId="0" fontId="14" fillId="0" borderId="0" xfId="0" applyFont="1" applyFill="1" applyBorder="1" applyAlignment="1"/>
    <xf numFmtId="3" fontId="14" fillId="0" borderId="0" xfId="0" applyNumberFormat="1" applyFont="1" applyBorder="1" applyAlignment="1">
      <alignment horizontal="center"/>
    </xf>
    <xf numFmtId="3" fontId="14" fillId="0" borderId="0" xfId="0" applyNumberFormat="1" applyFont="1" applyBorder="1"/>
    <xf numFmtId="3" fontId="6" fillId="0" borderId="0" xfId="0" applyNumberFormat="1" applyFont="1" applyFill="1" applyBorder="1"/>
    <xf numFmtId="0" fontId="6" fillId="0" borderId="3" xfId="0" applyNumberFormat="1" applyFont="1" applyFill="1" applyBorder="1" applyAlignment="1"/>
    <xf numFmtId="0" fontId="14" fillId="0" borderId="3" xfId="0" applyFont="1" applyFill="1" applyBorder="1" applyAlignment="1"/>
    <xf numFmtId="3" fontId="6" fillId="2" borderId="3" xfId="0" applyNumberFormat="1" applyFont="1" applyFill="1" applyBorder="1"/>
    <xf numFmtId="3" fontId="14" fillId="0" borderId="0" xfId="0" applyNumberFormat="1" applyFont="1" applyFill="1" applyBorder="1" applyAlignment="1">
      <alignment horizontal="center"/>
    </xf>
    <xf numFmtId="10" fontId="6" fillId="0" borderId="0" xfId="5" applyNumberFormat="1" applyFont="1" applyFill="1" applyBorder="1"/>
    <xf numFmtId="3" fontId="14" fillId="0" borderId="3" xfId="0" applyNumberFormat="1" applyFont="1" applyBorder="1" applyAlignment="1">
      <alignment horizontal="center"/>
    </xf>
    <xf numFmtId="3" fontId="6" fillId="0" borderId="3" xfId="0" applyNumberFormat="1" applyFont="1" applyFill="1" applyBorder="1"/>
    <xf numFmtId="0" fontId="74" fillId="0" borderId="0" xfId="0" applyFont="1" applyFill="1" applyAlignment="1">
      <alignment horizontal="left"/>
    </xf>
    <xf numFmtId="164" fontId="6" fillId="2" borderId="0" xfId="1" applyNumberFormat="1" applyFont="1" applyFill="1" applyAlignment="1"/>
    <xf numFmtId="0" fontId="23" fillId="0" borderId="0" xfId="0" applyNumberFormat="1" applyFont="1" applyFill="1" applyBorder="1" applyAlignment="1">
      <alignment horizontal="center"/>
    </xf>
    <xf numFmtId="3" fontId="6" fillId="3" borderId="0" xfId="0" applyNumberFormat="1" applyFont="1" applyFill="1" applyAlignment="1">
      <alignment horizontal="center"/>
    </xf>
    <xf numFmtId="0" fontId="2" fillId="0" borderId="0" xfId="0" applyFont="1" applyFill="1" applyAlignment="1">
      <alignment horizontal="left" wrapText="1"/>
    </xf>
    <xf numFmtId="164" fontId="2" fillId="0" borderId="0" xfId="1" applyNumberFormat="1" applyFont="1"/>
    <xf numFmtId="0" fontId="2" fillId="0" borderId="0" xfId="0" applyFont="1" applyAlignment="1">
      <alignment horizontal="left"/>
    </xf>
    <xf numFmtId="37" fontId="2" fillId="0" borderId="0" xfId="0" applyNumberFormat="1" applyFont="1"/>
    <xf numFmtId="173" fontId="2" fillId="2" borderId="0" xfId="0" applyNumberFormat="1" applyFont="1" applyFill="1"/>
    <xf numFmtId="37" fontId="2" fillId="2" borderId="0" xfId="0" applyNumberFormat="1" applyFont="1" applyFill="1"/>
    <xf numFmtId="0" fontId="2" fillId="0" borderId="0" xfId="0" applyFont="1" applyFill="1" applyAlignment="1">
      <alignment horizontal="left"/>
    </xf>
    <xf numFmtId="0" fontId="2" fillId="2" borderId="0" xfId="0" applyFont="1" applyFill="1"/>
    <xf numFmtId="0" fontId="2" fillId="0" borderId="22" xfId="0" applyFont="1" applyFill="1" applyBorder="1" applyAlignment="1">
      <alignment horizontal="left" wrapText="1"/>
    </xf>
    <xf numFmtId="37" fontId="2" fillId="0" borderId="0" xfId="0" applyNumberFormat="1" applyFont="1" applyFill="1"/>
    <xf numFmtId="0" fontId="2" fillId="2" borderId="0" xfId="0" applyFont="1" applyFill="1" applyAlignment="1">
      <alignment horizontal="center"/>
    </xf>
    <xf numFmtId="164" fontId="2" fillId="0" borderId="0" xfId="1" applyNumberFormat="1" applyFont="1" applyFill="1" applyAlignment="1">
      <alignment horizontal="right"/>
    </xf>
    <xf numFmtId="164" fontId="2" fillId="2" borderId="0" xfId="1" applyNumberFormat="1" applyFont="1" applyFill="1" applyAlignment="1">
      <alignment horizontal="right"/>
    </xf>
    <xf numFmtId="41" fontId="2" fillId="0" borderId="0" xfId="0" applyNumberFormat="1" applyFont="1" applyFill="1" applyAlignment="1">
      <alignment horizontal="left" wrapText="1"/>
    </xf>
    <xf numFmtId="164" fontId="2" fillId="2" borderId="21" xfId="1" applyNumberFormat="1" applyFont="1" applyFill="1" applyBorder="1"/>
    <xf numFmtId="164" fontId="2" fillId="2" borderId="0" xfId="1" applyNumberFormat="1" applyFont="1" applyFill="1"/>
    <xf numFmtId="164" fontId="2" fillId="0" borderId="0" xfId="1" applyNumberFormat="1" applyFont="1" applyAlignment="1">
      <alignment horizontal="right"/>
    </xf>
    <xf numFmtId="164" fontId="3" fillId="0" borderId="0" xfId="1" applyNumberFormat="1" applyFont="1" applyFill="1" applyAlignment="1">
      <alignment horizontal="center"/>
    </xf>
    <xf numFmtId="164" fontId="11" fillId="0" borderId="0" xfId="1" applyNumberFormat="1" applyFont="1" applyFill="1" applyAlignment="1">
      <alignment horizontal="center"/>
    </xf>
    <xf numFmtId="164" fontId="3" fillId="0" borderId="0" xfId="1" applyNumberFormat="1" applyFont="1" applyFill="1" applyAlignment="1">
      <alignment horizontal="right"/>
    </xf>
    <xf numFmtId="0" fontId="2" fillId="2" borderId="0" xfId="0" applyFont="1" applyFill="1" applyAlignment="1">
      <alignment horizontal="left" wrapText="1"/>
    </xf>
    <xf numFmtId="0" fontId="2" fillId="0" borderId="0" xfId="0" applyFont="1" applyAlignment="1">
      <alignment horizontal="left" wrapText="1"/>
    </xf>
    <xf numFmtId="164" fontId="2" fillId="2" borderId="0" xfId="1" applyNumberFormat="1" applyFont="1" applyFill="1" applyAlignment="1">
      <alignment horizontal="right" wrapText="1"/>
    </xf>
    <xf numFmtId="164" fontId="2" fillId="0" borderId="0" xfId="1" applyNumberFormat="1" applyFont="1" applyAlignment="1">
      <alignment horizontal="right" wrapText="1"/>
    </xf>
    <xf numFmtId="173" fontId="2" fillId="2" borderId="0" xfId="0" applyNumberFormat="1" applyFont="1" applyFill="1" applyAlignment="1">
      <alignment horizontal="center" wrapText="1"/>
    </xf>
    <xf numFmtId="37" fontId="2" fillId="0" borderId="0" xfId="0" applyNumberFormat="1" applyFont="1" applyAlignment="1">
      <alignment horizontal="right" wrapText="1"/>
    </xf>
    <xf numFmtId="0" fontId="3" fillId="0" borderId="0" xfId="0" applyNumberFormat="1" applyFont="1" applyFill="1" applyBorder="1" applyAlignment="1">
      <alignment horizontal="center"/>
    </xf>
    <xf numFmtId="0" fontId="2" fillId="0" borderId="0" xfId="0" applyFont="1" applyAlignment="1">
      <alignment horizontal="left" vertical="center" wrapText="1"/>
    </xf>
    <xf numFmtId="0" fontId="2" fillId="0" borderId="0" xfId="0" applyFont="1" applyAlignment="1">
      <alignment horizontal="right" wrapText="1"/>
    </xf>
    <xf numFmtId="0" fontId="2" fillId="2" borderId="0" xfId="0" applyFont="1" applyFill="1" applyAlignment="1">
      <alignment horizontal="left" vertical="center" wrapText="1"/>
    </xf>
    <xf numFmtId="0" fontId="2" fillId="0" borderId="0" xfId="0" applyNumberFormat="1" applyFont="1" applyFill="1" applyBorder="1" applyAlignment="1">
      <alignment horizontal="left"/>
    </xf>
    <xf numFmtId="164" fontId="2" fillId="2" borderId="3" xfId="1" applyNumberFormat="1" applyFont="1" applyFill="1" applyBorder="1" applyAlignment="1">
      <alignment horizontal="right"/>
    </xf>
    <xf numFmtId="164" fontId="2" fillId="0" borderId="20" xfId="1" applyNumberFormat="1" applyFont="1" applyBorder="1" applyAlignment="1">
      <alignment horizontal="right"/>
    </xf>
    <xf numFmtId="43" fontId="2" fillId="0" borderId="0" xfId="1" applyFont="1" applyFill="1" applyAlignment="1">
      <alignment horizontal="right"/>
    </xf>
    <xf numFmtId="41" fontId="2" fillId="0" borderId="0" xfId="0" applyNumberFormat="1" applyFont="1" applyFill="1" applyBorder="1" applyAlignment="1">
      <alignment horizontal="right"/>
    </xf>
    <xf numFmtId="37" fontId="2" fillId="0" borderId="0" xfId="0" applyNumberFormat="1" applyFont="1" applyFill="1" applyAlignment="1">
      <alignment horizontal="right" wrapText="1"/>
    </xf>
    <xf numFmtId="164" fontId="2" fillId="0" borderId="0" xfId="1" applyNumberFormat="1" applyFont="1" applyAlignment="1"/>
    <xf numFmtId="0" fontId="2" fillId="0" borderId="0" xfId="0" applyFont="1" applyAlignment="1">
      <alignment horizontal="center"/>
    </xf>
    <xf numFmtId="0" fontId="2" fillId="0" borderId="0" xfId="0" applyFont="1" applyFill="1" applyAlignment="1"/>
    <xf numFmtId="0" fontId="2" fillId="0" borderId="0" xfId="0" applyFont="1" applyAlignment="1"/>
    <xf numFmtId="164" fontId="2" fillId="2" borderId="0"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0" applyFont="1" applyAlignment="1">
      <alignment horizontal="left" vertical="center"/>
    </xf>
    <xf numFmtId="164" fontId="2" fillId="0" borderId="0" xfId="1" applyNumberFormat="1" applyFont="1" applyAlignment="1">
      <alignment vertical="center" wrapText="1"/>
    </xf>
    <xf numFmtId="0" fontId="2" fillId="0" borderId="0" xfId="0" applyFont="1" applyAlignment="1">
      <alignment vertical="top"/>
    </xf>
    <xf numFmtId="0" fontId="2" fillId="0" borderId="0" xfId="0" applyFont="1" applyAlignment="1">
      <alignment wrapText="1"/>
    </xf>
    <xf numFmtId="164" fontId="2" fillId="2" borderId="0" xfId="1" applyNumberFormat="1" applyFont="1" applyFill="1" applyAlignment="1">
      <alignment vertical="center" wrapText="1"/>
    </xf>
    <xf numFmtId="164" fontId="2" fillId="2" borderId="0" xfId="1" applyNumberFormat="1" applyFont="1" applyFill="1" applyAlignment="1"/>
    <xf numFmtId="164" fontId="2" fillId="2" borderId="0" xfId="1" applyNumberFormat="1" applyFont="1" applyFill="1" applyBorder="1" applyAlignment="1"/>
    <xf numFmtId="164" fontId="2" fillId="0" borderId="0" xfId="1" applyNumberFormat="1" applyFont="1" applyFill="1" applyAlignment="1"/>
    <xf numFmtId="164" fontId="2" fillId="0" borderId="0" xfId="1" applyNumberFormat="1" applyFont="1" applyFill="1" applyBorder="1" applyAlignment="1"/>
    <xf numFmtId="0" fontId="2" fillId="0" borderId="0" xfId="0" applyFont="1" applyFill="1" applyAlignment="1">
      <alignment vertical="top"/>
    </xf>
    <xf numFmtId="0" fontId="2" fillId="0" borderId="0" xfId="0" applyFont="1" applyAlignment="1">
      <alignment vertical="center" wrapText="1"/>
    </xf>
    <xf numFmtId="0" fontId="2" fillId="0" borderId="0" xfId="0" applyFont="1" applyFill="1" applyAlignment="1">
      <alignment vertical="center" wrapText="1"/>
    </xf>
    <xf numFmtId="164" fontId="2" fillId="0" borderId="0" xfId="1" applyNumberFormat="1" applyFont="1" applyBorder="1" applyAlignment="1"/>
    <xf numFmtId="0" fontId="75" fillId="5" borderId="0" xfId="0" applyFont="1" applyFill="1"/>
    <xf numFmtId="165" fontId="6" fillId="0" borderId="3" xfId="3" applyFont="1" applyBorder="1" applyAlignment="1">
      <alignment vertical="center"/>
    </xf>
    <xf numFmtId="9" fontId="6" fillId="0" borderId="0" xfId="0" applyNumberFormat="1" applyFont="1" applyFill="1" applyAlignment="1"/>
    <xf numFmtId="166" fontId="6" fillId="0" borderId="0" xfId="0" applyNumberFormat="1" applyFont="1" applyFill="1" applyAlignment="1"/>
    <xf numFmtId="164" fontId="6" fillId="0" borderId="0" xfId="1" applyNumberFormat="1" applyFont="1" applyFill="1" applyAlignment="1"/>
    <xf numFmtId="0" fontId="37" fillId="0" borderId="0" xfId="0" applyFont="1" applyAlignment="1">
      <alignment horizontal="right"/>
    </xf>
    <xf numFmtId="0" fontId="2" fillId="0" borderId="9" xfId="0" applyFont="1" applyBorder="1"/>
    <xf numFmtId="0" fontId="2" fillId="0" borderId="9" xfId="0" applyFont="1" applyFill="1" applyBorder="1"/>
    <xf numFmtId="0" fontId="2" fillId="0" borderId="0" xfId="0" applyFont="1" applyFill="1" applyBorder="1" applyAlignment="1">
      <alignment horizontal="right"/>
    </xf>
    <xf numFmtId="0" fontId="2" fillId="0" borderId="8" xfId="0" applyFont="1" applyFill="1" applyBorder="1"/>
    <xf numFmtId="37" fontId="2" fillId="0" borderId="0" xfId="0" applyNumberFormat="1" applyFont="1" applyAlignment="1">
      <alignment horizontal="center"/>
    </xf>
    <xf numFmtId="2" fontId="2" fillId="0" borderId="0" xfId="0" applyNumberFormat="1" applyFont="1" applyFill="1" applyBorder="1" applyAlignment="1">
      <alignment horizontal="center"/>
    </xf>
    <xf numFmtId="5" fontId="2" fillId="0" borderId="0" xfId="0" applyNumberFormat="1" applyFont="1"/>
    <xf numFmtId="0" fontId="76" fillId="0" borderId="0" xfId="0" applyFont="1"/>
    <xf numFmtId="0" fontId="37" fillId="0" borderId="0" xfId="0" applyFont="1"/>
    <xf numFmtId="173" fontId="2" fillId="0" borderId="0" xfId="5" applyNumberFormat="1" applyFont="1"/>
    <xf numFmtId="39" fontId="2" fillId="0" borderId="0" xfId="0" applyNumberFormat="1" applyFont="1" applyFill="1"/>
    <xf numFmtId="43" fontId="2" fillId="0" borderId="0" xfId="0" applyNumberFormat="1" applyFont="1"/>
    <xf numFmtId="0" fontId="2" fillId="7" borderId="0" xfId="0" applyFont="1" applyFill="1"/>
    <xf numFmtId="0" fontId="61" fillId="0" borderId="0" xfId="0" applyFont="1" applyFill="1" applyBorder="1" applyAlignment="1">
      <alignment horizontal="center"/>
    </xf>
    <xf numFmtId="3" fontId="61" fillId="0" borderId="0" xfId="0" applyNumberFormat="1" applyFont="1" applyFill="1" applyBorder="1" applyAlignment="1">
      <alignment horizontal="center"/>
    </xf>
    <xf numFmtId="0" fontId="2" fillId="0" borderId="27" xfId="0" applyFont="1" applyFill="1" applyBorder="1"/>
    <xf numFmtId="0" fontId="2" fillId="0" borderId="3" xfId="0" applyFont="1" applyFill="1" applyBorder="1"/>
    <xf numFmtId="0" fontId="2" fillId="0" borderId="28" xfId="0" applyFont="1" applyFill="1" applyBorder="1"/>
    <xf numFmtId="0" fontId="64" fillId="0" borderId="0" xfId="0" applyFont="1" applyAlignment="1"/>
    <xf numFmtId="0" fontId="66" fillId="0" borderId="0" xfId="0" applyFont="1" applyAlignment="1"/>
    <xf numFmtId="0" fontId="30" fillId="6" borderId="14" xfId="0" applyFont="1" applyFill="1" applyBorder="1" applyAlignment="1">
      <alignment horizontal="center" wrapText="1"/>
    </xf>
    <xf numFmtId="0" fontId="30" fillId="0" borderId="0" xfId="0" applyFont="1" applyFill="1" applyBorder="1" applyAlignment="1">
      <alignment horizontal="center" wrapText="1"/>
    </xf>
    <xf numFmtId="0" fontId="47" fillId="0" borderId="0" xfId="0" applyFont="1" applyFill="1" applyBorder="1" applyAlignment="1">
      <alignment horizontal="center"/>
    </xf>
    <xf numFmtId="0" fontId="47" fillId="0" borderId="6" xfId="0" applyFont="1" applyFill="1" applyBorder="1" applyAlignment="1">
      <alignment horizontal="center"/>
    </xf>
    <xf numFmtId="0" fontId="47" fillId="0" borderId="7" xfId="0" applyFont="1" applyFill="1" applyBorder="1" applyAlignment="1">
      <alignment horizontal="center"/>
    </xf>
    <xf numFmtId="0" fontId="36" fillId="0" borderId="0" xfId="0" applyFont="1" applyFill="1" applyBorder="1" applyAlignment="1">
      <alignment horizontal="center" wrapText="1"/>
    </xf>
    <xf numFmtId="0" fontId="36" fillId="0" borderId="7" xfId="0" applyFont="1" applyFill="1" applyBorder="1" applyAlignment="1">
      <alignment horizontal="center" wrapText="1"/>
    </xf>
    <xf numFmtId="0" fontId="31" fillId="0" borderId="7" xfId="0" applyNumberFormat="1" applyFont="1" applyFill="1" applyBorder="1" applyAlignment="1">
      <alignment horizontal="left" wrapText="1"/>
    </xf>
    <xf numFmtId="164" fontId="31" fillId="0" borderId="9" xfId="0" applyNumberFormat="1" applyFont="1" applyBorder="1"/>
    <xf numFmtId="0" fontId="30" fillId="6" borderId="14" xfId="0" applyFont="1" applyFill="1" applyBorder="1" applyAlignment="1">
      <alignment horizontal="center" wrapText="1"/>
    </xf>
    <xf numFmtId="0" fontId="31" fillId="0" borderId="0" xfId="0" applyFont="1" applyFill="1" applyBorder="1" applyAlignment="1">
      <alignment horizontal="left" wrapText="1"/>
    </xf>
    <xf numFmtId="0" fontId="31" fillId="0" borderId="7" xfId="0" applyFont="1" applyFill="1" applyBorder="1" applyAlignment="1">
      <alignment horizontal="left" wrapText="1"/>
    </xf>
    <xf numFmtId="0" fontId="34" fillId="0" borderId="7" xfId="0" applyFont="1" applyFill="1" applyBorder="1" applyAlignment="1">
      <alignment horizontal="left" wrapText="1"/>
    </xf>
    <xf numFmtId="0" fontId="2" fillId="0" borderId="0" xfId="0" applyFont="1" applyFill="1" applyBorder="1" applyAlignment="1">
      <alignment horizontal="center"/>
    </xf>
    <xf numFmtId="0" fontId="3" fillId="0" borderId="16"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164" fontId="13" fillId="0" borderId="0" xfId="0" applyNumberFormat="1" applyFont="1" applyFill="1" applyAlignment="1">
      <alignment horizontal="left" wrapText="1"/>
    </xf>
    <xf numFmtId="164" fontId="2" fillId="0" borderId="0" xfId="0" applyNumberFormat="1" applyFont="1" applyFill="1" applyAlignment="1">
      <alignment horizontal="left" wrapText="1"/>
    </xf>
    <xf numFmtId="164" fontId="2" fillId="0" borderId="0" xfId="1" applyNumberFormat="1" applyFont="1" applyFill="1" applyAlignment="1">
      <alignment horizontal="left" wrapText="1"/>
    </xf>
    <xf numFmtId="0" fontId="3" fillId="0" borderId="0" xfId="0" applyFont="1" applyBorder="1"/>
    <xf numFmtId="167" fontId="77" fillId="0" borderId="0" xfId="0" applyNumberFormat="1" applyFont="1" applyFill="1"/>
    <xf numFmtId="37" fontId="14" fillId="0" borderId="0" xfId="0" applyNumberFormat="1" applyFont="1" applyFill="1" applyBorder="1" applyAlignment="1">
      <alignment horizontal="center"/>
    </xf>
    <xf numFmtId="0" fontId="78" fillId="0" borderId="0" xfId="0" applyFont="1" applyBorder="1"/>
    <xf numFmtId="37" fontId="23" fillId="0" borderId="0" xfId="0" applyNumberFormat="1" applyFont="1" applyFill="1" applyBorder="1" applyAlignment="1">
      <alignment horizontal="center"/>
    </xf>
    <xf numFmtId="10" fontId="52" fillId="0" borderId="0" xfId="0" applyNumberFormat="1" applyFont="1"/>
    <xf numFmtId="43" fontId="6" fillId="0" borderId="0" xfId="1" applyFont="1" applyFill="1"/>
    <xf numFmtId="43" fontId="2" fillId="0" borderId="0" xfId="0" applyNumberFormat="1" applyFont="1" applyFill="1" applyBorder="1"/>
    <xf numFmtId="0" fontId="59" fillId="0" borderId="0" xfId="0" applyFont="1"/>
    <xf numFmtId="37" fontId="6" fillId="0" borderId="0" xfId="0" applyNumberFormat="1" applyFont="1" applyAlignment="1"/>
    <xf numFmtId="3" fontId="2" fillId="0" borderId="6" xfId="0" applyNumberFormat="1" applyFont="1" applyFill="1" applyBorder="1" applyAlignment="1">
      <alignment horizontal="center"/>
    </xf>
    <xf numFmtId="3" fontId="31" fillId="0" borderId="6" xfId="0" applyNumberFormat="1" applyFont="1" applyFill="1" applyBorder="1" applyAlignment="1">
      <alignment horizontal="center"/>
    </xf>
    <xf numFmtId="37" fontId="2" fillId="0" borderId="0" xfId="0" applyNumberFormat="1" applyFont="1" applyFill="1" applyAlignment="1">
      <alignment horizontal="center"/>
    </xf>
    <xf numFmtId="164" fontId="31" fillId="0" borderId="0" xfId="0" applyNumberFormat="1" applyFont="1" applyFill="1" applyBorder="1"/>
    <xf numFmtId="0" fontId="2" fillId="0" borderId="0" xfId="0" applyFont="1" applyAlignment="1">
      <alignment horizontal="center"/>
    </xf>
    <xf numFmtId="166" fontId="6" fillId="8" borderId="0" xfId="0" applyNumberFormat="1" applyFont="1" applyFill="1" applyAlignment="1"/>
    <xf numFmtId="172" fontId="6" fillId="0" borderId="0" xfId="1" applyNumberFormat="1" applyFont="1" applyFill="1" applyBorder="1" applyAlignment="1"/>
    <xf numFmtId="164" fontId="2" fillId="0" borderId="9" xfId="1" applyNumberFormat="1" applyFont="1" applyBorder="1" applyAlignment="1">
      <alignment horizontal="center"/>
    </xf>
    <xf numFmtId="43" fontId="6" fillId="0" borderId="0" xfId="0" applyNumberFormat="1" applyFont="1" applyFill="1"/>
    <xf numFmtId="37" fontId="79" fillId="0" borderId="0" xfId="0" applyNumberFormat="1" applyFont="1" applyFill="1" applyBorder="1" applyAlignment="1">
      <alignment horizontal="center"/>
    </xf>
    <xf numFmtId="164" fontId="24" fillId="0" borderId="0" xfId="1" applyNumberFormat="1" applyFont="1" applyFill="1" applyBorder="1"/>
    <xf numFmtId="3" fontId="2" fillId="0" borderId="9" xfId="0" applyNumberFormat="1" applyFont="1" applyFill="1" applyBorder="1" applyAlignment="1">
      <alignment horizontal="center"/>
    </xf>
    <xf numFmtId="43" fontId="2" fillId="0" borderId="0" xfId="1" applyFont="1" applyFill="1"/>
    <xf numFmtId="0" fontId="2" fillId="0" borderId="7" xfId="0" applyFont="1" applyFill="1" applyBorder="1" applyAlignment="1">
      <alignment horizontal="center"/>
    </xf>
    <xf numFmtId="0" fontId="2" fillId="0" borderId="0" xfId="0" applyFont="1" applyFill="1" applyBorder="1" applyAlignment="1">
      <alignment horizontal="center"/>
    </xf>
    <xf numFmtId="0" fontId="3" fillId="0" borderId="16" xfId="0" applyFont="1" applyFill="1" applyBorder="1" applyAlignment="1">
      <alignment horizontal="center"/>
    </xf>
    <xf numFmtId="0" fontId="2" fillId="0" borderId="6" xfId="0" applyFont="1" applyFill="1" applyBorder="1" applyAlignment="1">
      <alignment horizontal="center"/>
    </xf>
    <xf numFmtId="37" fontId="2" fillId="0" borderId="0" xfId="0" applyNumberFormat="1" applyFont="1" applyFill="1" applyAlignment="1">
      <alignment horizontal="left" wrapText="1"/>
    </xf>
    <xf numFmtId="37" fontId="13" fillId="0" borderId="0" xfId="0" applyNumberFormat="1" applyFont="1" applyFill="1" applyAlignment="1">
      <alignment horizontal="left" wrapText="1"/>
    </xf>
    <xf numFmtId="164" fontId="5" fillId="0" borderId="0" xfId="1" applyNumberFormat="1" applyFont="1"/>
    <xf numFmtId="178" fontId="2" fillId="0" borderId="0" xfId="0" applyNumberFormat="1" applyFont="1" applyFill="1" applyAlignment="1">
      <alignment horizontal="left" wrapText="1"/>
    </xf>
    <xf numFmtId="37" fontId="2" fillId="0" borderId="0" xfId="0" applyNumberFormat="1" applyFont="1" applyFill="1" applyBorder="1"/>
    <xf numFmtId="0" fontId="30" fillId="6" borderId="14" xfId="0" applyFont="1" applyFill="1" applyBorder="1" applyAlignment="1">
      <alignment horizontal="center" wrapText="1"/>
    </xf>
    <xf numFmtId="0" fontId="31" fillId="0" borderId="0" xfId="0" applyFont="1" applyFill="1" applyBorder="1" applyAlignment="1">
      <alignment horizontal="center"/>
    </xf>
    <xf numFmtId="0" fontId="2" fillId="0" borderId="0" xfId="0" applyFont="1" applyFill="1" applyBorder="1" applyAlignment="1">
      <alignment horizontal="center"/>
    </xf>
    <xf numFmtId="0" fontId="3" fillId="0" borderId="16"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164" fontId="52" fillId="0" borderId="0" xfId="1" applyNumberFormat="1" applyFont="1" applyFill="1" applyAlignment="1">
      <alignment horizontal="left"/>
    </xf>
    <xf numFmtId="179" fontId="0" fillId="0" borderId="0" xfId="0" applyNumberFormat="1" applyAlignment="1">
      <alignment horizontal="right"/>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6" fillId="0" borderId="0" xfId="0" applyNumberFormat="1" applyFont="1" applyFill="1" applyAlignment="1">
      <alignment horizontal="left" vertical="top" wrapText="1"/>
    </xf>
    <xf numFmtId="0" fontId="4" fillId="2" borderId="17" xfId="0" applyFont="1" applyFill="1" applyBorder="1" applyAlignment="1">
      <alignment horizontal="center" wrapText="1"/>
    </xf>
    <xf numFmtId="0" fontId="4" fillId="2" borderId="19" xfId="0" applyFont="1" applyFill="1" applyBorder="1" applyAlignment="1">
      <alignment horizontal="center" wrapText="1"/>
    </xf>
    <xf numFmtId="0" fontId="3" fillId="0" borderId="0" xfId="0" applyFont="1" applyFill="1" applyAlignment="1">
      <alignment horizontal="center"/>
    </xf>
    <xf numFmtId="0" fontId="2" fillId="0" borderId="0" xfId="0" applyFont="1" applyAlignment="1"/>
    <xf numFmtId="0" fontId="14" fillId="0" borderId="0" xfId="0" applyFont="1" applyAlignment="1">
      <alignment horizontal="center"/>
    </xf>
    <xf numFmtId="0" fontId="23" fillId="0" borderId="0" xfId="0" applyFont="1" applyAlignment="1"/>
    <xf numFmtId="0" fontId="4" fillId="0" borderId="0" xfId="0" applyFont="1" applyAlignment="1">
      <alignment horizontal="center"/>
    </xf>
    <xf numFmtId="0" fontId="30" fillId="0" borderId="0" xfId="0" applyFont="1" applyFill="1" applyBorder="1" applyAlignment="1">
      <alignment horizontal="left" wrapText="1"/>
    </xf>
    <xf numFmtId="0" fontId="30" fillId="0" borderId="0" xfId="0" applyFont="1" applyAlignment="1">
      <alignment wrapText="1"/>
    </xf>
    <xf numFmtId="0" fontId="2" fillId="0" borderId="0" xfId="0" applyFont="1" applyAlignment="1">
      <alignment wrapText="1"/>
    </xf>
    <xf numFmtId="0" fontId="6" fillId="0" borderId="0" xfId="0" applyFont="1" applyAlignment="1">
      <alignment horizontal="center"/>
    </xf>
    <xf numFmtId="0" fontId="43" fillId="0" borderId="0" xfId="0" applyFont="1" applyAlignment="1">
      <alignment horizontal="center"/>
    </xf>
    <xf numFmtId="0" fontId="3" fillId="0" borderId="0" xfId="0" applyFont="1" applyAlignment="1">
      <alignment horizontal="center"/>
    </xf>
    <xf numFmtId="0" fontId="34" fillId="0" borderId="0" xfId="0" applyFont="1" applyFill="1" applyBorder="1" applyAlignment="1">
      <alignment horizontal="center" wrapText="1"/>
    </xf>
    <xf numFmtId="0" fontId="31" fillId="0" borderId="0" xfId="0" applyFont="1" applyFill="1" applyBorder="1" applyAlignment="1">
      <alignment horizontal="center" wrapText="1"/>
    </xf>
    <xf numFmtId="0" fontId="34" fillId="0" borderId="9" xfId="0" applyFont="1" applyFill="1" applyBorder="1" applyAlignment="1">
      <alignment horizontal="center" wrapText="1"/>
    </xf>
    <xf numFmtId="0" fontId="31" fillId="0" borderId="9" xfId="0" applyFont="1" applyFill="1" applyBorder="1" applyAlignment="1">
      <alignment horizontal="center" wrapText="1"/>
    </xf>
    <xf numFmtId="0" fontId="47" fillId="6" borderId="16" xfId="0" applyFont="1" applyFill="1" applyBorder="1" applyAlignment="1">
      <alignment horizontal="center"/>
    </xf>
    <xf numFmtId="0" fontId="47" fillId="6" borderId="14" xfId="0" applyFont="1" applyFill="1" applyBorder="1" applyAlignment="1">
      <alignment horizontal="center"/>
    </xf>
    <xf numFmtId="0" fontId="47" fillId="6" borderId="15" xfId="0" applyFont="1" applyFill="1" applyBorder="1" applyAlignment="1">
      <alignment horizontal="center"/>
    </xf>
    <xf numFmtId="0" fontId="30" fillId="6" borderId="14" xfId="0" applyFont="1" applyFill="1" applyBorder="1" applyAlignment="1">
      <alignment horizontal="center" wrapText="1"/>
    </xf>
    <xf numFmtId="0" fontId="36" fillId="6" borderId="14" xfId="0" applyFont="1" applyFill="1" applyBorder="1" applyAlignment="1">
      <alignment horizontal="center" wrapText="1"/>
    </xf>
    <xf numFmtId="0" fontId="31" fillId="0" borderId="14" xfId="0" applyFont="1" applyBorder="1" applyAlignment="1">
      <alignment horizontal="center" wrapText="1"/>
    </xf>
    <xf numFmtId="0" fontId="31" fillId="0" borderId="0" xfId="0" applyFont="1" applyAlignment="1">
      <alignment horizontal="center" wrapText="1"/>
    </xf>
    <xf numFmtId="0" fontId="31" fillId="0" borderId="9" xfId="0" applyFont="1" applyBorder="1" applyAlignment="1">
      <alignment horizontal="center" wrapText="1"/>
    </xf>
    <xf numFmtId="0" fontId="30" fillId="0" borderId="0" xfId="0" applyFont="1" applyFill="1" applyBorder="1" applyAlignment="1">
      <alignment horizontal="center" wrapText="1"/>
    </xf>
    <xf numFmtId="0" fontId="47" fillId="6" borderId="16" xfId="0" applyFont="1" applyFill="1" applyBorder="1" applyAlignment="1">
      <alignment horizontal="center" wrapText="1"/>
    </xf>
    <xf numFmtId="0" fontId="47" fillId="6" borderId="14" xfId="0" applyFont="1" applyFill="1" applyBorder="1" applyAlignment="1">
      <alignment horizontal="center" wrapText="1"/>
    </xf>
    <xf numFmtId="0" fontId="47" fillId="6" borderId="15" xfId="0" applyFont="1" applyFill="1" applyBorder="1" applyAlignment="1">
      <alignment horizontal="center" wrapText="1"/>
    </xf>
    <xf numFmtId="0" fontId="48" fillId="6" borderId="16" xfId="0" applyFont="1" applyFill="1" applyBorder="1" applyAlignment="1">
      <alignment horizontal="center"/>
    </xf>
    <xf numFmtId="0" fontId="48" fillId="6" borderId="14" xfId="0" applyFont="1" applyFill="1" applyBorder="1" applyAlignment="1">
      <alignment horizontal="center"/>
    </xf>
    <xf numFmtId="0" fontId="47" fillId="0" borderId="0" xfId="0" applyFont="1" applyFill="1" applyBorder="1" applyAlignment="1">
      <alignment horizontal="center"/>
    </xf>
    <xf numFmtId="0" fontId="47" fillId="12" borderId="5" xfId="0" applyFont="1" applyFill="1" applyBorder="1" applyAlignment="1">
      <alignment horizontal="left"/>
    </xf>
    <xf numFmtId="0" fontId="47" fillId="12" borderId="4" xfId="0" applyFont="1" applyFill="1" applyBorder="1" applyAlignment="1">
      <alignment horizontal="left"/>
    </xf>
    <xf numFmtId="0" fontId="47" fillId="12" borderId="13" xfId="0" applyFont="1" applyFill="1" applyBorder="1" applyAlignment="1">
      <alignment horizontal="left"/>
    </xf>
    <xf numFmtId="0" fontId="25" fillId="6" borderId="16" xfId="0" applyFont="1" applyFill="1" applyBorder="1" applyAlignment="1">
      <alignment horizontal="center"/>
    </xf>
    <xf numFmtId="0" fontId="2" fillId="0" borderId="14" xfId="0" applyFont="1" applyBorder="1" applyAlignment="1">
      <alignment horizontal="center"/>
    </xf>
    <xf numFmtId="0" fontId="25" fillId="6" borderId="14" xfId="0" applyFont="1" applyFill="1" applyBorder="1" applyAlignment="1">
      <alignment horizontal="center"/>
    </xf>
    <xf numFmtId="0" fontId="2" fillId="0" borderId="14" xfId="0" applyFont="1" applyBorder="1" applyAlignment="1">
      <alignment wrapText="1"/>
    </xf>
    <xf numFmtId="0" fontId="2" fillId="0" borderId="15" xfId="0" applyFont="1" applyBorder="1" applyAlignment="1">
      <alignment wrapText="1"/>
    </xf>
    <xf numFmtId="0" fontId="31" fillId="0" borderId="0" xfId="0" applyFont="1" applyFill="1" applyBorder="1" applyAlignment="1">
      <alignment horizontal="left" wrapText="1"/>
    </xf>
    <xf numFmtId="0" fontId="2" fillId="0" borderId="0" xfId="0" applyFont="1" applyFill="1" applyAlignment="1">
      <alignment horizontal="left" wrapText="1"/>
    </xf>
    <xf numFmtId="0" fontId="2" fillId="0" borderId="7" xfId="0" applyFont="1" applyFill="1" applyBorder="1" applyAlignment="1">
      <alignment horizontal="left" wrapText="1"/>
    </xf>
    <xf numFmtId="0" fontId="3" fillId="0" borderId="0" xfId="0" applyFont="1" applyFill="1" applyBorder="1" applyAlignment="1">
      <alignment horizontal="left" wrapText="1"/>
    </xf>
    <xf numFmtId="0" fontId="3" fillId="0" borderId="7" xfId="0" applyFont="1" applyFill="1" applyBorder="1" applyAlignment="1">
      <alignment horizontal="left" wrapText="1"/>
    </xf>
    <xf numFmtId="0" fontId="2" fillId="0" borderId="0" xfId="0" applyFont="1" applyFill="1" applyBorder="1" applyAlignment="1">
      <alignment horizontal="left" wrapText="1"/>
    </xf>
    <xf numFmtId="0" fontId="31" fillId="0" borderId="7" xfId="0" applyFont="1" applyFill="1" applyBorder="1" applyAlignment="1">
      <alignment horizontal="center" wrapText="1"/>
    </xf>
    <xf numFmtId="0" fontId="31" fillId="0" borderId="7" xfId="0" applyFont="1" applyFill="1" applyBorder="1" applyAlignment="1">
      <alignment horizontal="left" wrapText="1"/>
    </xf>
    <xf numFmtId="0" fontId="34" fillId="0" borderId="0" xfId="0" applyFont="1" applyFill="1" applyBorder="1" applyAlignment="1">
      <alignment horizontal="left" wrapText="1"/>
    </xf>
    <xf numFmtId="0" fontId="34" fillId="0" borderId="7" xfId="0" applyFont="1" applyFill="1" applyBorder="1" applyAlignment="1">
      <alignment horizontal="left" wrapText="1"/>
    </xf>
    <xf numFmtId="0" fontId="27" fillId="0" borderId="0" xfId="0" applyFont="1" applyFill="1" applyAlignment="1">
      <alignment horizontal="left" vertical="top" textRotation="180" wrapText="1"/>
    </xf>
    <xf numFmtId="0" fontId="27" fillId="0" borderId="0" xfId="0" applyFont="1" applyFill="1" applyAlignment="1"/>
    <xf numFmtId="0" fontId="31" fillId="0" borderId="10" xfId="0" applyFont="1" applyFill="1" applyBorder="1" applyAlignment="1">
      <alignment horizontal="center" wrapText="1"/>
    </xf>
    <xf numFmtId="0" fontId="31" fillId="0" borderId="15" xfId="0" applyFont="1" applyBorder="1" applyAlignment="1">
      <alignment horizontal="center" wrapText="1"/>
    </xf>
    <xf numFmtId="0" fontId="2" fillId="0" borderId="9" xfId="0" applyFont="1" applyFill="1" applyBorder="1" applyAlignment="1">
      <alignment horizontal="left" wrapText="1"/>
    </xf>
    <xf numFmtId="0" fontId="2" fillId="0" borderId="10" xfId="0" applyFont="1" applyFill="1" applyBorder="1" applyAlignment="1">
      <alignment horizontal="left" wrapText="1"/>
    </xf>
    <xf numFmtId="164" fontId="31" fillId="0" borderId="9" xfId="0" applyNumberFormat="1" applyFont="1" applyFill="1" applyBorder="1" applyAlignment="1">
      <alignment horizontal="center" wrapText="1"/>
    </xf>
    <xf numFmtId="0" fontId="36" fillId="6" borderId="15" xfId="0" applyFont="1" applyFill="1" applyBorder="1" applyAlignment="1">
      <alignment horizontal="center" wrapText="1"/>
    </xf>
    <xf numFmtId="3" fontId="31" fillId="0" borderId="0" xfId="0" applyNumberFormat="1" applyFont="1" applyBorder="1" applyAlignment="1">
      <alignment horizontal="left" wrapText="1"/>
    </xf>
    <xf numFmtId="0" fontId="2" fillId="0" borderId="0" xfId="0" applyFont="1" applyBorder="1" applyAlignment="1">
      <alignment wrapText="1"/>
    </xf>
    <xf numFmtId="0" fontId="2" fillId="0" borderId="7" xfId="0" applyFont="1" applyBorder="1" applyAlignment="1">
      <alignment wrapText="1"/>
    </xf>
    <xf numFmtId="164" fontId="31" fillId="0" borderId="9" xfId="1" applyNumberFormat="1" applyFont="1" applyFill="1" applyBorder="1" applyAlignment="1">
      <alignment horizontal="center" wrapText="1"/>
    </xf>
    <xf numFmtId="164" fontId="31" fillId="0" borderId="10" xfId="1" applyNumberFormat="1" applyFont="1" applyFill="1" applyBorder="1" applyAlignment="1">
      <alignment horizontal="center" wrapText="1"/>
    </xf>
    <xf numFmtId="0" fontId="31" fillId="0" borderId="7" xfId="0" applyFont="1" applyBorder="1" applyAlignment="1">
      <alignment horizontal="center" wrapText="1"/>
    </xf>
    <xf numFmtId="0" fontId="34" fillId="0" borderId="0" xfId="0" applyFont="1" applyFill="1" applyBorder="1" applyAlignment="1">
      <alignment horizontal="left" vertical="top" wrapText="1"/>
    </xf>
    <xf numFmtId="0" fontId="34" fillId="0" borderId="7" xfId="0" applyFont="1" applyFill="1" applyBorder="1" applyAlignment="1">
      <alignment horizontal="left" vertical="top" wrapText="1"/>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4" fillId="0" borderId="7" xfId="0" applyFont="1" applyFill="1" applyBorder="1" applyAlignment="1">
      <alignment horizontal="center" wrapText="1"/>
    </xf>
    <xf numFmtId="0" fontId="31" fillId="0" borderId="10" xfId="0" applyFont="1" applyBorder="1" applyAlignment="1">
      <alignment horizontal="center" wrapText="1"/>
    </xf>
    <xf numFmtId="44" fontId="31" fillId="0" borderId="0" xfId="2" applyFont="1" applyFill="1" applyBorder="1" applyAlignment="1">
      <alignment horizontal="left" wrapText="1"/>
    </xf>
    <xf numFmtId="44" fontId="31" fillId="0" borderId="7" xfId="2" applyFont="1" applyFill="1" applyBorder="1" applyAlignment="1">
      <alignment horizontal="left" wrapText="1"/>
    </xf>
    <xf numFmtId="0" fontId="30" fillId="6" borderId="15" xfId="0" applyFont="1" applyFill="1" applyBorder="1" applyAlignment="1">
      <alignment horizontal="center" wrapText="1"/>
    </xf>
    <xf numFmtId="0" fontId="31" fillId="0" borderId="0" xfId="0" applyFont="1" applyFill="1" applyBorder="1" applyAlignment="1">
      <alignment horizontal="center"/>
    </xf>
    <xf numFmtId="0" fontId="31" fillId="0" borderId="7" xfId="0" applyFont="1" applyFill="1" applyBorder="1" applyAlignment="1">
      <alignment horizontal="center"/>
    </xf>
    <xf numFmtId="164" fontId="37" fillId="0" borderId="8" xfId="1" applyNumberFormat="1" applyFont="1" applyFill="1" applyBorder="1" applyAlignment="1">
      <alignment horizontal="center"/>
    </xf>
    <xf numFmtId="164" fontId="2" fillId="0" borderId="9" xfId="1" applyNumberFormat="1" applyFont="1" applyFill="1" applyBorder="1" applyAlignment="1">
      <alignment horizontal="center"/>
    </xf>
    <xf numFmtId="164" fontId="37" fillId="0" borderId="9" xfId="1" applyNumberFormat="1" applyFont="1" applyFill="1" applyBorder="1" applyAlignment="1">
      <alignment horizontal="center"/>
    </xf>
    <xf numFmtId="164" fontId="37" fillId="0" borderId="6" xfId="1" applyNumberFormat="1" applyFont="1" applyFill="1" applyBorder="1" applyAlignment="1">
      <alignment horizontal="center"/>
    </xf>
    <xf numFmtId="164" fontId="2" fillId="0" borderId="0" xfId="1" applyNumberFormat="1" applyFont="1" applyFill="1" applyBorder="1" applyAlignment="1">
      <alignment horizontal="center"/>
    </xf>
    <xf numFmtId="164" fontId="37" fillId="0" borderId="0" xfId="1" applyNumberFormat="1" applyFont="1" applyFill="1" applyBorder="1" applyAlignment="1">
      <alignment horizontal="center"/>
    </xf>
    <xf numFmtId="2" fontId="37" fillId="0" borderId="0" xfId="0" applyNumberFormat="1" applyFont="1" applyFill="1" applyBorder="1" applyAlignment="1">
      <alignment horizontal="center"/>
    </xf>
    <xf numFmtId="2" fontId="2" fillId="0" borderId="0" xfId="0" applyNumberFormat="1" applyFont="1" applyFill="1" applyBorder="1" applyAlignment="1">
      <alignment horizontal="center"/>
    </xf>
    <xf numFmtId="0" fontId="2" fillId="0" borderId="0" xfId="0" applyFont="1" applyFill="1" applyBorder="1" applyAlignment="1">
      <alignment horizontal="center"/>
    </xf>
    <xf numFmtId="0" fontId="14" fillId="0" borderId="0" xfId="0" applyFont="1" applyAlignment="1"/>
    <xf numFmtId="0" fontId="52" fillId="0" borderId="0" xfId="0" applyFont="1" applyAlignment="1">
      <alignment wrapText="1"/>
    </xf>
    <xf numFmtId="0" fontId="3" fillId="0" borderId="16"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3" fillId="0" borderId="16" xfId="0" applyFont="1" applyFill="1" applyBorder="1" applyAlignment="1">
      <alignment horizontal="center" wrapText="1"/>
    </xf>
    <xf numFmtId="0" fontId="2" fillId="0" borderId="14" xfId="0" applyFont="1" applyFill="1" applyBorder="1" applyAlignment="1">
      <alignment horizontal="center" wrapText="1"/>
    </xf>
    <xf numFmtId="0" fontId="2" fillId="0" borderId="15" xfId="0" applyFont="1" applyFill="1" applyBorder="1" applyAlignment="1">
      <alignment horizontal="center" wrapText="1"/>
    </xf>
    <xf numFmtId="0" fontId="3" fillId="0" borderId="16" xfId="0" applyFont="1" applyBorder="1" applyAlignment="1">
      <alignment horizontal="center"/>
    </xf>
    <xf numFmtId="0" fontId="2" fillId="0" borderId="15" xfId="0" applyFont="1" applyBorder="1" applyAlignment="1">
      <alignment horizontal="center"/>
    </xf>
    <xf numFmtId="0" fontId="3" fillId="0" borderId="16" xfId="0" applyFont="1" applyFill="1" applyBorder="1" applyAlignment="1">
      <alignment horizontal="center"/>
    </xf>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3" fillId="0" borderId="14" xfId="0" applyFont="1" applyFill="1" applyBorder="1" applyAlignment="1">
      <alignment horizontal="center" wrapText="1"/>
    </xf>
    <xf numFmtId="0" fontId="3" fillId="0" borderId="15" xfId="0" applyFont="1" applyFill="1" applyBorder="1" applyAlignment="1">
      <alignment horizontal="center" wrapText="1"/>
    </xf>
    <xf numFmtId="0" fontId="2" fillId="0" borderId="0" xfId="0" applyFont="1" applyAlignment="1">
      <alignment horizontal="center"/>
    </xf>
    <xf numFmtId="0" fontId="57" fillId="0" borderId="0" xfId="0" applyFont="1" applyAlignment="1">
      <alignment horizontal="center"/>
    </xf>
    <xf numFmtId="0" fontId="64" fillId="0" borderId="0" xfId="0" applyFont="1" applyAlignment="1">
      <alignment horizontal="center"/>
    </xf>
  </cellXfs>
  <cellStyles count="13">
    <cellStyle name="Comma" xfId="1" builtinId="3"/>
    <cellStyle name="Comma 2" xfId="10"/>
    <cellStyle name="Comma 3" xfId="7"/>
    <cellStyle name="Currency" xfId="2" builtinId="4"/>
    <cellStyle name="Currency 2" xfId="11"/>
    <cellStyle name="Currency 3" xfId="8"/>
    <cellStyle name="Normal" xfId="0" builtinId="0"/>
    <cellStyle name="Normal 2" xfId="9"/>
    <cellStyle name="Normal 3" xfId="6"/>
    <cellStyle name="Normal_1995 FCWS" xfId="3"/>
    <cellStyle name="Normal_FN1 Ratebase Draft SPP template (6-11-04) v2" xfId="4"/>
    <cellStyle name="Percent" xfId="5" builtinId="5"/>
    <cellStyle name="Percent 2" xfId="12"/>
  </cellStyles>
  <dxfs count="0"/>
  <tableStyles count="0" defaultTableStyle="TableStyleMedium9" defaultPivotStyle="PivotStyleLight16"/>
  <colors>
    <mruColors>
      <color rgb="FF66FF66"/>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S359"/>
  <sheetViews>
    <sheetView tabSelected="1" zoomScale="75" zoomScaleNormal="75" workbookViewId="0">
      <selection activeCell="H282" sqref="H282"/>
    </sheetView>
  </sheetViews>
  <sheetFormatPr defaultColWidth="9.140625" defaultRowHeight="15"/>
  <cols>
    <col min="1" max="1" width="13.7109375" style="44" customWidth="1"/>
    <col min="2" max="2" width="5.7109375" style="9" customWidth="1"/>
    <col min="3" max="3" width="73" style="9" customWidth="1"/>
    <col min="4" max="4" width="2.85546875" style="9" customWidth="1"/>
    <col min="5" max="5" width="20.28515625" style="67" customWidth="1"/>
    <col min="6" max="6" width="24.42578125" style="21" customWidth="1"/>
    <col min="7" max="7" width="3.85546875" style="21" customWidth="1"/>
    <col min="8" max="8" width="22.140625" style="21" customWidth="1"/>
    <col min="9" max="9" width="11.140625" style="21" customWidth="1"/>
    <col min="10" max="10" width="18.42578125" style="21" bestFit="1" customWidth="1"/>
    <col min="11" max="11" width="15.140625" style="21" bestFit="1" customWidth="1"/>
    <col min="12" max="16384" width="9.140625" style="21"/>
  </cols>
  <sheetData>
    <row r="1" spans="1:9">
      <c r="A1" s="187"/>
      <c r="H1" s="49"/>
    </row>
    <row r="2" spans="1:9" ht="18">
      <c r="A2" s="187"/>
      <c r="D2" s="817" t="s">
        <v>664</v>
      </c>
      <c r="H2" s="49"/>
    </row>
    <row r="3" spans="1:9" ht="25.5" customHeight="1" thickBot="1"/>
    <row r="4" spans="1:9" ht="27" customHeight="1">
      <c r="A4" s="509" t="s">
        <v>70</v>
      </c>
      <c r="B4" s="507"/>
      <c r="C4" s="507"/>
      <c r="D4" s="507"/>
      <c r="E4" s="508"/>
      <c r="F4" s="1064" t="s">
        <v>690</v>
      </c>
      <c r="H4" s="1067">
        <v>2016</v>
      </c>
      <c r="I4" s="27"/>
    </row>
    <row r="5" spans="1:9" ht="27" customHeight="1" thickBot="1">
      <c r="A5" s="612" t="s">
        <v>689</v>
      </c>
      <c r="B5" s="613"/>
      <c r="C5" s="836"/>
      <c r="D5" s="836"/>
      <c r="E5" s="614" t="s">
        <v>362</v>
      </c>
      <c r="F5" s="1065"/>
      <c r="H5" s="1068"/>
    </row>
    <row r="6" spans="1:9" s="168" customFormat="1" ht="23.25" customHeight="1">
      <c r="A6" s="195" t="s">
        <v>46</v>
      </c>
      <c r="B6" s="196"/>
      <c r="C6" s="837"/>
      <c r="D6" s="837"/>
      <c r="E6" s="133"/>
      <c r="F6" s="197"/>
      <c r="G6" s="170"/>
      <c r="H6" s="197"/>
    </row>
    <row r="7" spans="1:9" s="843" customFormat="1" ht="15.75">
      <c r="A7" s="838" t="s">
        <v>226</v>
      </c>
      <c r="B7" s="839"/>
      <c r="C7" s="839"/>
      <c r="D7" s="839"/>
      <c r="E7" s="840"/>
      <c r="F7" s="841"/>
      <c r="G7" s="841"/>
      <c r="H7" s="842"/>
    </row>
    <row r="8" spans="1:9" s="27" customFormat="1" ht="15.75">
      <c r="A8" s="75"/>
      <c r="B8" s="56"/>
      <c r="C8" s="56"/>
      <c r="D8" s="56"/>
      <c r="E8" s="133"/>
      <c r="F8" s="82"/>
      <c r="G8" s="82"/>
      <c r="H8" s="88"/>
    </row>
    <row r="9" spans="1:9" ht="15.75">
      <c r="A9" s="19"/>
      <c r="B9" s="7" t="s">
        <v>233</v>
      </c>
      <c r="E9" s="505"/>
      <c r="F9" s="721"/>
      <c r="G9" s="721"/>
      <c r="H9" s="721"/>
    </row>
    <row r="10" spans="1:9" ht="15.75">
      <c r="A10" s="8">
        <v>1</v>
      </c>
      <c r="B10" s="8"/>
      <c r="C10" s="82" t="s">
        <v>173</v>
      </c>
      <c r="D10" s="164"/>
      <c r="E10" s="68"/>
      <c r="F10" s="721" t="s">
        <v>185</v>
      </c>
      <c r="G10" s="9"/>
      <c r="H10" s="802">
        <v>23062228</v>
      </c>
      <c r="I10" s="168"/>
    </row>
    <row r="11" spans="1:9">
      <c r="A11" s="67"/>
      <c r="I11" s="27"/>
    </row>
    <row r="12" spans="1:9" ht="15.75">
      <c r="A12" s="8">
        <f>+A10+1</f>
        <v>2</v>
      </c>
      <c r="B12" s="8"/>
      <c r="C12" s="82" t="s">
        <v>174</v>
      </c>
      <c r="D12" s="82"/>
      <c r="E12" s="134"/>
      <c r="F12" s="82" t="s">
        <v>186</v>
      </c>
      <c r="G12" s="9"/>
      <c r="H12" s="802">
        <v>160967925</v>
      </c>
      <c r="I12" s="168"/>
    </row>
    <row r="13" spans="1:9" ht="15.75">
      <c r="A13" s="8">
        <f>+A12+1</f>
        <v>3</v>
      </c>
      <c r="B13" s="8"/>
      <c r="C13" s="82" t="s">
        <v>227</v>
      </c>
      <c r="D13" s="82"/>
      <c r="F13" s="82" t="s">
        <v>187</v>
      </c>
      <c r="G13" s="9"/>
      <c r="H13" s="802">
        <v>25627232</v>
      </c>
      <c r="I13" s="168"/>
    </row>
    <row r="14" spans="1:9">
      <c r="A14" s="8">
        <f>+A13+1</f>
        <v>4</v>
      </c>
      <c r="B14" s="8"/>
      <c r="C14" s="844" t="s">
        <v>340</v>
      </c>
      <c r="D14" s="845"/>
      <c r="E14" s="846"/>
      <c r="F14" s="845" t="str">
        <f>"(Line "&amp;A12&amp;" - "&amp;A13&amp;")"</f>
        <v>(Line 2 - 3)</v>
      </c>
      <c r="G14" s="34"/>
      <c r="H14" s="845">
        <f>+H12-H13</f>
        <v>135340693</v>
      </c>
      <c r="I14" s="27"/>
    </row>
    <row r="15" spans="1:9" ht="15.75">
      <c r="A15" s="8"/>
      <c r="B15" s="8"/>
      <c r="C15" s="847"/>
      <c r="E15" s="505"/>
      <c r="F15" s="547"/>
      <c r="G15" s="9"/>
      <c r="H15" s="721"/>
      <c r="I15" s="27"/>
    </row>
    <row r="16" spans="1:9" ht="16.5" thickBot="1">
      <c r="A16" s="8">
        <v>5</v>
      </c>
      <c r="B16" s="15" t="s">
        <v>312</v>
      </c>
      <c r="C16" s="15"/>
      <c r="D16" s="89"/>
      <c r="E16" s="848"/>
      <c r="F16" s="849" t="str">
        <f>"(Line "&amp;A10&amp;" / "&amp;A14&amp;")"</f>
        <v>(Line 1 / 4)</v>
      </c>
      <c r="G16" s="90"/>
      <c r="H16" s="84">
        <f>+H10/H14</f>
        <v>0.17040128500007015</v>
      </c>
      <c r="I16" s="168"/>
    </row>
    <row r="17" spans="1:9" ht="16.5" thickTop="1">
      <c r="A17" s="8"/>
      <c r="B17" s="8"/>
      <c r="C17" s="7"/>
      <c r="D17" s="26"/>
      <c r="E17" s="850"/>
      <c r="F17" s="9"/>
      <c r="G17" s="9"/>
      <c r="H17" s="13"/>
      <c r="I17" s="27"/>
    </row>
    <row r="18" spans="1:9" ht="15.75">
      <c r="A18" s="67"/>
      <c r="B18" s="7" t="s">
        <v>333</v>
      </c>
      <c r="D18" s="21"/>
      <c r="I18" s="27"/>
    </row>
    <row r="19" spans="1:9" ht="15.75">
      <c r="A19" s="53">
        <f>+A16+1</f>
        <v>6</v>
      </c>
      <c r="B19" s="21"/>
      <c r="C19" s="82" t="s">
        <v>352</v>
      </c>
      <c r="E19" s="151"/>
      <c r="F19" s="82" t="s">
        <v>57</v>
      </c>
      <c r="H19" s="802">
        <f>+'5 - Cost Support'!H9</f>
        <v>7071602223</v>
      </c>
      <c r="I19" s="168"/>
    </row>
    <row r="20" spans="1:9" ht="15.75">
      <c r="A20" s="53">
        <f>+A19+1</f>
        <v>7</v>
      </c>
      <c r="B20" s="21"/>
      <c r="C20" s="82" t="s">
        <v>228</v>
      </c>
      <c r="E20" s="151" t="str">
        <f>"(Note "&amp;B$294&amp;")"</f>
        <v>(Note A)</v>
      </c>
      <c r="F20" s="851" t="str">
        <f>"(Line "&amp;A$46&amp;")"</f>
        <v>(Line 24)</v>
      </c>
      <c r="H20" s="638">
        <f>+H46</f>
        <v>513279898.19999999</v>
      </c>
      <c r="I20" s="168"/>
    </row>
    <row r="21" spans="1:9" ht="15.75">
      <c r="A21" s="53">
        <f>+A20+1</f>
        <v>8</v>
      </c>
      <c r="B21" s="21"/>
      <c r="C21" s="32" t="s">
        <v>232</v>
      </c>
      <c r="D21" s="34"/>
      <c r="E21" s="142"/>
      <c r="F21" s="803" t="str">
        <f>"(Sum Lines "&amp;A19&amp;" &amp; "&amp;A20&amp;")"</f>
        <v>(Sum Lines 6 &amp; 7)</v>
      </c>
      <c r="G21" s="31"/>
      <c r="H21" s="803">
        <f>SUM(H19:H20)</f>
        <v>7584882121.1999998</v>
      </c>
      <c r="I21" s="168"/>
    </row>
    <row r="22" spans="1:9">
      <c r="A22" s="68"/>
      <c r="B22" s="21"/>
      <c r="C22" s="82"/>
      <c r="E22" s="163"/>
      <c r="F22" s="82"/>
      <c r="H22" s="638"/>
      <c r="I22" s="27"/>
    </row>
    <row r="23" spans="1:9" ht="15.75">
      <c r="A23" s="53">
        <f>+A21+1</f>
        <v>9</v>
      </c>
      <c r="B23" s="21"/>
      <c r="C23" s="82" t="s">
        <v>171</v>
      </c>
      <c r="F23" s="82" t="s">
        <v>57</v>
      </c>
      <c r="H23" s="802">
        <f>+'5 - Cost Support'!H10</f>
        <v>2570412235.9200001</v>
      </c>
      <c r="I23" s="168"/>
    </row>
    <row r="24" spans="1:9" ht="15.75">
      <c r="A24" s="53">
        <f>+A23+1</f>
        <v>10</v>
      </c>
      <c r="B24" s="21"/>
      <c r="C24" s="82" t="s">
        <v>363</v>
      </c>
      <c r="E24" s="151" t="str">
        <f>"(Note "&amp;B$294&amp;")"</f>
        <v>(Note A)</v>
      </c>
      <c r="F24" s="635" t="s">
        <v>376</v>
      </c>
      <c r="H24" s="802">
        <f>+'5 - Cost Support'!H11</f>
        <v>39160874</v>
      </c>
      <c r="I24" s="168"/>
    </row>
    <row r="25" spans="1:9" ht="15.75">
      <c r="A25" s="53">
        <f>+A24+1</f>
        <v>11</v>
      </c>
      <c r="B25" s="21"/>
      <c r="C25" s="82" t="s">
        <v>328</v>
      </c>
      <c r="E25" s="151" t="str">
        <f>"(Note "&amp;B$294&amp;")"</f>
        <v>(Note A)</v>
      </c>
      <c r="F25" s="721" t="s">
        <v>175</v>
      </c>
      <c r="H25" s="802">
        <f>+'5 - Cost Support'!H12</f>
        <v>0</v>
      </c>
      <c r="I25" s="168"/>
    </row>
    <row r="26" spans="1:9" ht="15.75">
      <c r="A26" s="53">
        <f>+A25+1</f>
        <v>12</v>
      </c>
      <c r="C26" s="56" t="s">
        <v>364</v>
      </c>
      <c r="E26" s="151" t="str">
        <f>"(Note "&amp;B$294&amp;")"</f>
        <v>(Note A)</v>
      </c>
      <c r="F26" s="638" t="s">
        <v>57</v>
      </c>
      <c r="H26" s="802">
        <f>+'5 - Cost Support'!H13</f>
        <v>160360675.96000001</v>
      </c>
      <c r="I26" s="168"/>
    </row>
    <row r="27" spans="1:9" ht="15.75">
      <c r="A27" s="53">
        <f>+A26+1</f>
        <v>13</v>
      </c>
      <c r="C27" s="32" t="s">
        <v>231</v>
      </c>
      <c r="D27" s="34"/>
      <c r="E27" s="136"/>
      <c r="F27" s="845" t="str">
        <f>"(Sum Lines "&amp;A23&amp;" to "&amp;A26&amp;")"</f>
        <v>(Sum Lines 9 to 12)</v>
      </c>
      <c r="G27" s="31"/>
      <c r="H27" s="803">
        <f>SUM(H23:H26)</f>
        <v>2769933785.8800001</v>
      </c>
      <c r="I27" s="168"/>
    </row>
    <row r="28" spans="1:9" ht="17.45" customHeight="1">
      <c r="A28" s="67"/>
      <c r="C28" s="56"/>
      <c r="F28" s="721"/>
      <c r="H28" s="63"/>
      <c r="I28" s="27"/>
    </row>
    <row r="29" spans="1:9" ht="15.75">
      <c r="A29" s="8">
        <f>+A27+1</f>
        <v>14</v>
      </c>
      <c r="B29" s="21"/>
      <c r="C29" s="31" t="s">
        <v>324</v>
      </c>
      <c r="D29" s="31"/>
      <c r="E29" s="136"/>
      <c r="F29" s="845" t="str">
        <f>"(Line "&amp;A21&amp;" - "&amp;A27&amp;")"</f>
        <v>(Line 8 - 13)</v>
      </c>
      <c r="G29" s="31"/>
      <c r="H29" s="845">
        <f>+H21-H27</f>
        <v>4814948335.3199997</v>
      </c>
      <c r="I29" s="168"/>
    </row>
    <row r="30" spans="1:9">
      <c r="A30" s="67"/>
      <c r="B30" s="21"/>
      <c r="C30" s="21"/>
      <c r="D30" s="21"/>
      <c r="I30" s="27"/>
    </row>
    <row r="31" spans="1:9" ht="15.75">
      <c r="A31" s="53">
        <f>+A29+1</f>
        <v>15</v>
      </c>
      <c r="B31" s="21"/>
      <c r="C31" s="21" t="s">
        <v>229</v>
      </c>
      <c r="D31" s="21"/>
      <c r="F31" s="851" t="str">
        <f>"(Line "&amp;A53&amp;" - Line "&amp;A51&amp;")"</f>
        <v>(Line 29 - Line 28)</v>
      </c>
      <c r="H31" s="63">
        <f>+H53-H51</f>
        <v>1548895577.8193979</v>
      </c>
      <c r="I31" s="168"/>
    </row>
    <row r="32" spans="1:9" ht="16.5" thickBot="1">
      <c r="A32" s="8">
        <f>+A31+1</f>
        <v>16</v>
      </c>
      <c r="B32" s="17" t="s">
        <v>152</v>
      </c>
      <c r="C32" s="17"/>
      <c r="D32" s="85"/>
      <c r="E32" s="137"/>
      <c r="F32" s="849" t="str">
        <f>"(Line "&amp;A31&amp;" / "&amp;A21&amp;")"</f>
        <v>(Line 15 / 8)</v>
      </c>
      <c r="G32" s="85"/>
      <c r="H32" s="84">
        <f>+H31/(H21)</f>
        <v>0.20420825967620285</v>
      </c>
      <c r="I32" s="27"/>
    </row>
    <row r="33" spans="1:10" ht="16.5" thickTop="1">
      <c r="A33" s="67"/>
      <c r="F33" s="1"/>
      <c r="I33" s="27"/>
    </row>
    <row r="34" spans="1:10" ht="15.75">
      <c r="A34" s="53">
        <f>+A32+1</f>
        <v>17</v>
      </c>
      <c r="B34" s="8"/>
      <c r="C34" s="852" t="s">
        <v>230</v>
      </c>
      <c r="D34" s="26"/>
      <c r="E34" s="850"/>
      <c r="F34" s="851" t="str">
        <f>"(Line "&amp;A69&amp;" - Line "&amp;A51&amp;")"</f>
        <v>(Line 39 - Line 28)</v>
      </c>
      <c r="G34" s="9"/>
      <c r="H34" s="63">
        <f>+H69-H51</f>
        <v>1116979811.4949064</v>
      </c>
      <c r="I34" s="168"/>
    </row>
    <row r="35" spans="1:10" ht="16.5" thickBot="1">
      <c r="A35" s="8">
        <f>+A34+1</f>
        <v>18</v>
      </c>
      <c r="B35" s="17" t="s">
        <v>325</v>
      </c>
      <c r="C35" s="17"/>
      <c r="D35" s="85"/>
      <c r="E35" s="137"/>
      <c r="F35" s="849" t="str">
        <f>"(Line "&amp;A34&amp;" / "&amp;A29&amp;")"</f>
        <v>(Line 17 / 14)</v>
      </c>
      <c r="G35" s="85"/>
      <c r="H35" s="84">
        <f>+H34/H29</f>
        <v>0.23198168156889939</v>
      </c>
      <c r="I35" s="168"/>
    </row>
    <row r="36" spans="1:10" ht="16.5" thickTop="1">
      <c r="A36" s="23"/>
      <c r="B36" s="8"/>
      <c r="C36" s="7"/>
      <c r="D36" s="26"/>
      <c r="E36" s="850"/>
      <c r="F36" s="9"/>
      <c r="G36" s="9"/>
      <c r="H36" s="13"/>
    </row>
    <row r="37" spans="1:10" s="843" customFormat="1" ht="15.75">
      <c r="A37" s="838" t="s">
        <v>323</v>
      </c>
      <c r="B37" s="839"/>
      <c r="C37" s="839"/>
      <c r="D37" s="839"/>
      <c r="E37" s="840"/>
      <c r="F37" s="841"/>
      <c r="G37" s="841"/>
      <c r="H37" s="842"/>
    </row>
    <row r="38" spans="1:10" s="27" customFormat="1" ht="15.75">
      <c r="A38" s="91"/>
      <c r="B38" s="92"/>
      <c r="C38" s="56"/>
      <c r="D38" s="56"/>
      <c r="E38" s="133"/>
      <c r="F38" s="82"/>
      <c r="G38" s="82"/>
      <c r="H38" s="88"/>
    </row>
    <row r="39" spans="1:10" ht="15.75">
      <c r="A39" s="67"/>
      <c r="B39" s="7" t="s">
        <v>280</v>
      </c>
      <c r="E39" s="850"/>
      <c r="F39" s="638"/>
      <c r="G39" s="19"/>
      <c r="H39" s="721"/>
    </row>
    <row r="40" spans="1:10" ht="15.75">
      <c r="A40" s="53">
        <f>+A35+1</f>
        <v>19</v>
      </c>
      <c r="B40" s="8"/>
      <c r="C40" s="847" t="s">
        <v>317</v>
      </c>
      <c r="E40" s="151"/>
      <c r="F40" s="638" t="s">
        <v>57</v>
      </c>
      <c r="G40" s="9"/>
      <c r="H40" s="802">
        <f>+'5 - Cost Support'!H15</f>
        <v>1380029096.22</v>
      </c>
      <c r="I40" s="168"/>
      <c r="J40" s="27"/>
    </row>
    <row r="41" spans="1:10" ht="15.75">
      <c r="A41" s="853">
        <f>+A40+1</f>
        <v>20</v>
      </c>
      <c r="B41" s="53"/>
      <c r="C41" s="1066" t="s">
        <v>474</v>
      </c>
      <c r="D41" s="1066"/>
      <c r="E41" s="638" t="s">
        <v>119</v>
      </c>
      <c r="F41" s="75" t="s">
        <v>54</v>
      </c>
      <c r="G41" s="9"/>
      <c r="H41" s="802">
        <v>0</v>
      </c>
      <c r="I41" s="168"/>
      <c r="J41" s="27"/>
    </row>
    <row r="42" spans="1:10" ht="15.75">
      <c r="A42" s="53">
        <f>+A41+1</f>
        <v>21</v>
      </c>
      <c r="B42" s="8"/>
      <c r="C42" s="854" t="s">
        <v>611</v>
      </c>
      <c r="D42" s="77"/>
      <c r="E42" s="160" t="str">
        <f>"(Note "&amp;B$295&amp;")"</f>
        <v>(Note B)</v>
      </c>
      <c r="F42" s="70" t="str">
        <f>+F41</f>
        <v>Attachment 6</v>
      </c>
      <c r="G42" s="77"/>
      <c r="H42" s="855">
        <v>59295087</v>
      </c>
      <c r="I42" s="168"/>
      <c r="J42" s="27"/>
    </row>
    <row r="43" spans="1:10" ht="15.75">
      <c r="A43" s="53">
        <f>+A42+1</f>
        <v>22</v>
      </c>
      <c r="B43" s="8"/>
      <c r="C43" s="5" t="s">
        <v>610</v>
      </c>
      <c r="E43" s="151"/>
      <c r="F43" s="632" t="str">
        <f>"(Line "&amp;A40&amp;" - "&amp;A41&amp;" + "&amp;A42&amp;")"</f>
        <v>(Line 19 - 20 + 21)</v>
      </c>
      <c r="G43" s="9"/>
      <c r="H43" s="510">
        <f>+H40-H41+H42</f>
        <v>1439324183.22</v>
      </c>
      <c r="I43" s="168"/>
      <c r="J43" s="27"/>
    </row>
    <row r="44" spans="1:10" s="27" customFormat="1">
      <c r="A44" s="53"/>
      <c r="B44" s="53"/>
      <c r="C44" s="852"/>
      <c r="D44" s="26"/>
      <c r="E44" s="68"/>
      <c r="F44" s="638"/>
      <c r="G44" s="26"/>
      <c r="H44" s="638"/>
    </row>
    <row r="45" spans="1:10" ht="15.75">
      <c r="A45" s="53">
        <f>+A43+1</f>
        <v>23</v>
      </c>
      <c r="B45" s="8"/>
      <c r="C45" s="847" t="s">
        <v>316</v>
      </c>
      <c r="F45" s="638" t="s">
        <v>57</v>
      </c>
      <c r="G45" s="9"/>
      <c r="H45" s="802">
        <f>+'5 - Cost Support'!H16</f>
        <v>129739868.93000001</v>
      </c>
      <c r="I45" s="168"/>
      <c r="J45" s="27"/>
    </row>
    <row r="46" spans="1:10" ht="15.75">
      <c r="A46" s="53">
        <f>+A45+1</f>
        <v>24</v>
      </c>
      <c r="B46" s="8"/>
      <c r="C46" s="847" t="s">
        <v>235</v>
      </c>
      <c r="E46" s="151" t="str">
        <f>"(Notes "&amp;B$294&amp;")"</f>
        <v>(Notes A)</v>
      </c>
      <c r="F46" s="636" t="s">
        <v>57</v>
      </c>
      <c r="G46" s="9"/>
      <c r="H46" s="802">
        <f>+'5 - Cost Support'!H17</f>
        <v>513279898.19999999</v>
      </c>
      <c r="I46" s="168"/>
      <c r="J46" s="27"/>
    </row>
    <row r="47" spans="1:10" ht="15.75">
      <c r="A47" s="53">
        <f>+A46+1</f>
        <v>25</v>
      </c>
      <c r="B47" s="8"/>
      <c r="C47" s="844" t="s">
        <v>319</v>
      </c>
      <c r="D47" s="34"/>
      <c r="E47" s="136"/>
      <c r="F47" s="632" t="str">
        <f>"(Line "&amp;A45&amp;" + "&amp;A46&amp;")"</f>
        <v>(Line 23 + 24)</v>
      </c>
      <c r="G47" s="34"/>
      <c r="H47" s="845">
        <f>SUM(H45:H46)</f>
        <v>643019767.13</v>
      </c>
      <c r="I47" s="168"/>
      <c r="J47" s="27"/>
    </row>
    <row r="48" spans="1:10" ht="15.75">
      <c r="A48" s="53">
        <f>+A47+1</f>
        <v>26</v>
      </c>
      <c r="B48" s="8"/>
      <c r="C48" s="43" t="s">
        <v>334</v>
      </c>
      <c r="D48" s="852"/>
      <c r="E48" s="850"/>
      <c r="F48" s="851" t="str">
        <f>"(Line "&amp;A$16&amp;")"</f>
        <v>(Line 5)</v>
      </c>
      <c r="G48" s="6"/>
      <c r="H48" s="857">
        <f>+H16</f>
        <v>0.17040128500007015</v>
      </c>
      <c r="I48" s="168"/>
      <c r="J48" s="27"/>
    </row>
    <row r="49" spans="1:10" ht="15.75">
      <c r="A49" s="53">
        <f>+A48+1</f>
        <v>27</v>
      </c>
      <c r="B49" s="21"/>
      <c r="C49" s="14" t="s">
        <v>278</v>
      </c>
      <c r="D49" s="32"/>
      <c r="E49" s="846"/>
      <c r="F49" s="632" t="str">
        <f>"(Line "&amp;A47&amp;" * "&amp;A48&amp;")"</f>
        <v>(Line 25 * 26)</v>
      </c>
      <c r="G49" s="31"/>
      <c r="H49" s="215">
        <f>+H48*H47</f>
        <v>109571394.59939787</v>
      </c>
      <c r="I49" s="168"/>
      <c r="J49" s="27"/>
    </row>
    <row r="50" spans="1:10" ht="15.75">
      <c r="A50" s="68"/>
      <c r="B50" s="21"/>
      <c r="C50" s="7"/>
      <c r="D50" s="27"/>
      <c r="E50" s="226"/>
      <c r="H50" s="632"/>
      <c r="I50" s="27"/>
      <c r="J50" s="27"/>
    </row>
    <row r="51" spans="1:10" ht="15.75">
      <c r="A51" s="53">
        <f>+A49+1</f>
        <v>28</v>
      </c>
      <c r="B51" s="8"/>
      <c r="C51" s="14" t="s">
        <v>455</v>
      </c>
      <c r="D51" s="158"/>
      <c r="E51" s="151" t="str">
        <f>"(Note "&amp;B$298&amp;")"</f>
        <v>(Note C)</v>
      </c>
      <c r="F51" s="803" t="s">
        <v>57</v>
      </c>
      <c r="G51" s="34"/>
      <c r="H51" s="216">
        <f>+'5 - Cost Support'!H51</f>
        <v>13115103</v>
      </c>
      <c r="I51" s="805"/>
      <c r="J51" s="27"/>
    </row>
    <row r="52" spans="1:10" ht="15.75">
      <c r="A52" s="68"/>
      <c r="B52" s="21"/>
      <c r="C52" s="7"/>
      <c r="D52" s="27"/>
      <c r="E52" s="68"/>
      <c r="H52" s="632"/>
      <c r="I52" s="27"/>
      <c r="J52" s="27"/>
    </row>
    <row r="53" spans="1:10" s="1" customFormat="1" ht="16.5" thickBot="1">
      <c r="A53" s="53">
        <f>+A51+1</f>
        <v>29</v>
      </c>
      <c r="B53" s="17" t="s">
        <v>234</v>
      </c>
      <c r="C53" s="17"/>
      <c r="D53" s="17"/>
      <c r="E53" s="138"/>
      <c r="F53" s="16" t="str">
        <f>"(Line "&amp;A43&amp;" + "&amp;A49&amp;" + "&amp;A51&amp;")"</f>
        <v>(Line 22 + 27 + 28)</v>
      </c>
      <c r="G53" s="17"/>
      <c r="H53" s="18">
        <f>SUM(H43,H49,H51)</f>
        <v>1562010680.8193979</v>
      </c>
      <c r="I53" s="168"/>
      <c r="J53" s="168"/>
    </row>
    <row r="54" spans="1:10" ht="15.75" thickTop="1">
      <c r="A54" s="68"/>
      <c r="B54" s="21"/>
      <c r="C54" s="21"/>
      <c r="D54" s="21"/>
      <c r="I54" s="27"/>
      <c r="J54" s="27"/>
    </row>
    <row r="55" spans="1:10" ht="15.75">
      <c r="A55" s="53"/>
      <c r="B55" s="7" t="s">
        <v>223</v>
      </c>
      <c r="C55" s="7"/>
      <c r="D55" s="638"/>
      <c r="E55" s="505"/>
      <c r="F55" s="721"/>
      <c r="G55" s="858"/>
      <c r="H55" s="721"/>
      <c r="I55" s="27"/>
      <c r="J55" s="27"/>
    </row>
    <row r="56" spans="1:10">
      <c r="A56" s="68"/>
      <c r="B56" s="26"/>
      <c r="C56" s="26"/>
      <c r="D56" s="26"/>
      <c r="F56" s="721"/>
      <c r="G56" s="721"/>
      <c r="H56" s="721"/>
      <c r="I56" s="27"/>
      <c r="J56" s="27"/>
    </row>
    <row r="57" spans="1:10" ht="15.75">
      <c r="A57" s="53">
        <f>+A53+1</f>
        <v>30</v>
      </c>
      <c r="B57" s="8"/>
      <c r="C57" s="847" t="s">
        <v>351</v>
      </c>
      <c r="E57" s="151"/>
      <c r="F57" s="638" t="s">
        <v>57</v>
      </c>
      <c r="G57" s="9"/>
      <c r="H57" s="802">
        <f>+'5 - Cost Support'!H19</f>
        <v>394140531.02999997</v>
      </c>
      <c r="I57" s="168"/>
      <c r="J57" s="27"/>
    </row>
    <row r="58" spans="1:10" s="27" customFormat="1">
      <c r="A58" s="53"/>
      <c r="B58" s="53"/>
      <c r="C58" s="26"/>
      <c r="D58" s="852"/>
      <c r="E58" s="68"/>
      <c r="F58" s="638"/>
      <c r="G58" s="26"/>
      <c r="H58" s="638"/>
    </row>
    <row r="59" spans="1:10" ht="15.75">
      <c r="A59" s="53">
        <f>+A57+1</f>
        <v>31</v>
      </c>
      <c r="B59" s="8"/>
      <c r="C59" s="847" t="s">
        <v>398</v>
      </c>
      <c r="F59" s="638" t="s">
        <v>57</v>
      </c>
      <c r="G59" s="9"/>
      <c r="H59" s="802">
        <f>+'5 - Cost Support'!H20</f>
        <v>37199663.920000002</v>
      </c>
      <c r="I59" s="168"/>
      <c r="J59" s="27"/>
    </row>
    <row r="60" spans="1:10" ht="15.75">
      <c r="A60" s="53">
        <f t="shared" ref="A60:A65" si="0">+A59+1</f>
        <v>32</v>
      </c>
      <c r="B60" s="8"/>
      <c r="C60" s="847" t="str">
        <f>+C24</f>
        <v>Accumulated Intangible Amortization</v>
      </c>
      <c r="F60" s="635" t="s">
        <v>57</v>
      </c>
      <c r="G60" s="9"/>
      <c r="H60" s="802">
        <f>+'5 - Cost Support'!H21</f>
        <v>24123641.52</v>
      </c>
      <c r="I60" s="168"/>
      <c r="J60" s="27"/>
    </row>
    <row r="61" spans="1:10">
      <c r="A61" s="53">
        <f t="shared" si="0"/>
        <v>33</v>
      </c>
      <c r="B61" s="8"/>
      <c r="C61" s="847" t="str">
        <f>+C25</f>
        <v>Accumulated Common Amortization - Electric</v>
      </c>
      <c r="E61" s="151"/>
      <c r="F61" s="632" t="str">
        <f>"(Line "&amp;A$25&amp;")"</f>
        <v>(Line 11)</v>
      </c>
      <c r="G61" s="9"/>
      <c r="H61" s="802">
        <f>+H25</f>
        <v>0</v>
      </c>
      <c r="I61" s="27"/>
      <c r="J61" s="27"/>
    </row>
    <row r="62" spans="1:10" ht="15.75">
      <c r="A62" s="53">
        <f t="shared" si="0"/>
        <v>34</v>
      </c>
      <c r="B62" s="8"/>
      <c r="C62" s="854" t="s">
        <v>277</v>
      </c>
      <c r="D62" s="77"/>
      <c r="E62" s="160" t="str">
        <f>"(Notes "&amp;B$294&amp;")"</f>
        <v>(Notes A)</v>
      </c>
      <c r="F62" s="851" t="str">
        <f>"(Line "&amp;A$26&amp;")"</f>
        <v>(Line 12)</v>
      </c>
      <c r="G62" s="9"/>
      <c r="H62" s="855">
        <f>+H26</f>
        <v>160360675.96000001</v>
      </c>
      <c r="I62" s="168"/>
      <c r="J62" s="27"/>
    </row>
    <row r="63" spans="1:10" ht="15.75">
      <c r="A63" s="53">
        <f t="shared" si="0"/>
        <v>35</v>
      </c>
      <c r="B63" s="8"/>
      <c r="C63" s="859" t="s">
        <v>231</v>
      </c>
      <c r="D63" s="38"/>
      <c r="E63" s="860"/>
      <c r="F63" s="632" t="str">
        <f>"(Sum Lines "&amp;A59&amp;" to "&amp;A62&amp;")"</f>
        <v>(Sum Lines 31 to 34)</v>
      </c>
      <c r="G63" s="632"/>
      <c r="H63" s="632">
        <f>SUM(H59:H62)</f>
        <v>221683981.40000001</v>
      </c>
      <c r="I63" s="168"/>
      <c r="J63" s="27"/>
    </row>
    <row r="64" spans="1:10" ht="15.75">
      <c r="A64" s="53">
        <f t="shared" si="0"/>
        <v>36</v>
      </c>
      <c r="B64" s="8"/>
      <c r="C64" s="859" t="str">
        <f>+C48</f>
        <v>Wage &amp; Salary Allocation Factor</v>
      </c>
      <c r="D64" s="38"/>
      <c r="E64" s="860"/>
      <c r="F64" s="851" t="str">
        <f>"(Line "&amp;A$16&amp;")"</f>
        <v>(Line 5)</v>
      </c>
      <c r="G64" s="632"/>
      <c r="H64" s="861">
        <f>+H16</f>
        <v>0.17040128500007015</v>
      </c>
      <c r="I64" s="168"/>
      <c r="J64" s="27"/>
    </row>
    <row r="65" spans="1:10" ht="15.75">
      <c r="A65" s="53">
        <f t="shared" si="0"/>
        <v>37</v>
      </c>
      <c r="B65" s="21"/>
      <c r="C65" s="64" t="s">
        <v>304</v>
      </c>
      <c r="D65" s="31"/>
      <c r="E65" s="136"/>
      <c r="F65" s="632" t="str">
        <f>"(Line "&amp;A63&amp;" * "&amp;A64&amp;")"</f>
        <v>(Line 35 * 36)</v>
      </c>
      <c r="G65" s="31"/>
      <c r="H65" s="215">
        <f>+H64*H63</f>
        <v>37775235.294491649</v>
      </c>
      <c r="I65" s="168"/>
      <c r="J65" s="27"/>
    </row>
    <row r="66" spans="1:10">
      <c r="A66" s="68"/>
      <c r="B66" s="21"/>
      <c r="C66" s="21"/>
      <c r="D66" s="21"/>
      <c r="I66" s="27"/>
      <c r="J66" s="27"/>
    </row>
    <row r="67" spans="1:10" ht="16.5" thickBot="1">
      <c r="A67" s="53">
        <f>+A65+1</f>
        <v>38</v>
      </c>
      <c r="B67" s="17" t="s">
        <v>320</v>
      </c>
      <c r="C67" s="17"/>
      <c r="D67" s="17"/>
      <c r="E67" s="138"/>
      <c r="F67" s="16" t="str">
        <f>"(Line "&amp;A57&amp;" + "&amp;A65&amp;")"</f>
        <v>(Line 30 + 37)</v>
      </c>
      <c r="G67" s="17"/>
      <c r="H67" s="18">
        <f>+H65+H57</f>
        <v>431915766.32449162</v>
      </c>
      <c r="I67" s="168"/>
      <c r="J67" s="27"/>
    </row>
    <row r="68" spans="1:10" ht="15.75" thickTop="1">
      <c r="A68" s="68"/>
      <c r="B68" s="21"/>
      <c r="C68" s="21"/>
      <c r="D68" s="21"/>
      <c r="I68" s="27"/>
      <c r="J68" s="27"/>
    </row>
    <row r="69" spans="1:10" ht="16.5" thickBot="1">
      <c r="A69" s="53">
        <f>+A67+1</f>
        <v>39</v>
      </c>
      <c r="B69" s="17" t="s">
        <v>321</v>
      </c>
      <c r="C69" s="17"/>
      <c r="D69" s="17"/>
      <c r="E69" s="138"/>
      <c r="F69" s="16" t="str">
        <f>"(Line "&amp;A53&amp;" - "&amp;A67&amp;")"</f>
        <v>(Line 29 - 38)</v>
      </c>
      <c r="G69" s="17"/>
      <c r="H69" s="18">
        <f>+H53-H67</f>
        <v>1130094914.4949064</v>
      </c>
      <c r="I69" s="168"/>
    </row>
    <row r="70" spans="1:10" ht="15.75" thickTop="1">
      <c r="A70" s="67"/>
      <c r="B70" s="21"/>
      <c r="C70" s="21"/>
      <c r="D70" s="21"/>
    </row>
    <row r="71" spans="1:10" s="843" customFormat="1" ht="15.75">
      <c r="A71" s="838" t="s">
        <v>279</v>
      </c>
      <c r="B71" s="839"/>
      <c r="C71" s="839"/>
      <c r="D71" s="839"/>
      <c r="E71" s="840"/>
      <c r="F71" s="841"/>
      <c r="G71" s="841"/>
    </row>
    <row r="72" spans="1:10" ht="15.75">
      <c r="A72" s="862"/>
      <c r="B72" s="863"/>
      <c r="C72" s="863"/>
      <c r="D72" s="863"/>
    </row>
    <row r="73" spans="1:10" ht="15.75">
      <c r="A73" s="68"/>
      <c r="B73" s="65" t="s">
        <v>414</v>
      </c>
      <c r="D73" s="27"/>
      <c r="E73" s="81"/>
      <c r="H73" s="721"/>
    </row>
    <row r="74" spans="1:10" ht="15.75">
      <c r="A74" s="68">
        <f>+A69+1</f>
        <v>40</v>
      </c>
      <c r="B74" s="65"/>
      <c r="C74" s="9" t="s">
        <v>449</v>
      </c>
      <c r="D74" s="27"/>
      <c r="F74" s="42" t="s">
        <v>55</v>
      </c>
      <c r="H74" s="802">
        <f>+'1 - ADIT'!G16</f>
        <v>-295326281.4051159</v>
      </c>
      <c r="I74" s="168"/>
    </row>
    <row r="75" spans="1:10" s="26" customFormat="1" ht="15.75">
      <c r="A75" s="53">
        <f>+A74+1</f>
        <v>41</v>
      </c>
      <c r="B75" s="27"/>
      <c r="C75" s="648" t="s">
        <v>381</v>
      </c>
      <c r="D75" s="192"/>
      <c r="E75" s="151" t="str">
        <f>"(Notes "&amp;B$294&amp;" &amp; "&amp;B$303&amp;")"</f>
        <v>(Notes A &amp; I)</v>
      </c>
      <c r="F75" s="635" t="s">
        <v>202</v>
      </c>
      <c r="H75" s="802">
        <v>0</v>
      </c>
      <c r="I75" s="168"/>
    </row>
    <row r="76" spans="1:10" ht="15.75">
      <c r="A76" s="53">
        <f>+A75+1</f>
        <v>42</v>
      </c>
      <c r="B76" s="27"/>
      <c r="C76" s="43" t="s">
        <v>281</v>
      </c>
      <c r="D76" s="27"/>
      <c r="E76" s="68"/>
      <c r="F76" s="636" t="str">
        <f>"(Line "&amp;A35&amp;")"</f>
        <v>(Line 18)</v>
      </c>
      <c r="H76" s="37">
        <f>+H$35</f>
        <v>0.23198168156889939</v>
      </c>
      <c r="I76" s="168"/>
    </row>
    <row r="77" spans="1:10" s="27" customFormat="1" ht="15.75">
      <c r="A77" s="53">
        <f>+A76+1</f>
        <v>43</v>
      </c>
      <c r="C77" s="66" t="s">
        <v>305</v>
      </c>
      <c r="D77" s="32"/>
      <c r="E77" s="142"/>
      <c r="F77" s="635" t="str">
        <f>"(Line "&amp;A75&amp;" * "&amp;A76&amp;") + Line "&amp;A74</f>
        <v>(Line 41 * 42) + Line 40</v>
      </c>
      <c r="G77" s="32"/>
      <c r="H77" s="214">
        <f>+H74+H75*H76</f>
        <v>-295326281.4051159</v>
      </c>
      <c r="I77" s="168"/>
    </row>
    <row r="78" spans="1:10" ht="15.75">
      <c r="A78" s="68"/>
      <c r="B78" s="27"/>
      <c r="C78" s="65"/>
      <c r="D78" s="82"/>
      <c r="E78" s="163"/>
      <c r="F78" s="82"/>
      <c r="G78" s="58"/>
      <c r="H78" s="193"/>
      <c r="I78" s="27"/>
    </row>
    <row r="79" spans="1:10" s="27" customFormat="1" ht="15.75">
      <c r="A79" s="53"/>
      <c r="B79" s="168" t="s">
        <v>88</v>
      </c>
      <c r="C79" s="65"/>
      <c r="D79" s="82"/>
      <c r="E79" s="163"/>
      <c r="F79" s="635"/>
      <c r="G79" s="82"/>
      <c r="H79" s="553"/>
    </row>
    <row r="80" spans="1:10" s="27" customFormat="1" ht="15.75">
      <c r="A80" s="68">
        <f>+A77+1</f>
        <v>44</v>
      </c>
      <c r="C80" s="65" t="s">
        <v>694</v>
      </c>
      <c r="D80" s="82"/>
      <c r="E80" s="163" t="s">
        <v>89</v>
      </c>
      <c r="F80" s="82" t="s">
        <v>57</v>
      </c>
      <c r="G80" s="82"/>
      <c r="H80" s="553">
        <f>+'5 - Cost Support'!I152</f>
        <v>0</v>
      </c>
      <c r="I80" s="168"/>
    </row>
    <row r="81" spans="1:9" s="27" customFormat="1" ht="15.75">
      <c r="A81" s="68"/>
      <c r="C81" s="65"/>
      <c r="D81" s="82"/>
      <c r="E81" s="163"/>
      <c r="F81" s="82"/>
      <c r="G81" s="82"/>
      <c r="H81" s="553"/>
    </row>
    <row r="82" spans="1:9" s="27" customFormat="1" ht="15.75">
      <c r="A82" s="68"/>
      <c r="B82" s="168" t="s">
        <v>775</v>
      </c>
      <c r="C82" s="65"/>
      <c r="D82" s="82"/>
      <c r="E82" s="163"/>
      <c r="F82" s="82"/>
      <c r="G82" s="663"/>
      <c r="H82" s="664"/>
    </row>
    <row r="83" spans="1:9" s="27" customFormat="1" ht="15.75">
      <c r="A83" s="68" t="s">
        <v>705</v>
      </c>
      <c r="C83" s="74" t="s">
        <v>776</v>
      </c>
      <c r="D83" s="82"/>
      <c r="E83" s="163" t="s">
        <v>778</v>
      </c>
      <c r="F83" s="82" t="s">
        <v>57</v>
      </c>
      <c r="G83" s="663"/>
      <c r="H83" s="553">
        <f>+'5 - Cost Support'!G194</f>
        <v>579675.06999999995</v>
      </c>
      <c r="I83" s="168"/>
    </row>
    <row r="84" spans="1:9" ht="15.75">
      <c r="A84" s="53"/>
      <c r="B84" s="24"/>
      <c r="C84" s="26"/>
      <c r="F84" s="41"/>
      <c r="G84" s="41"/>
      <c r="I84" s="27"/>
    </row>
    <row r="85" spans="1:9" ht="15.75">
      <c r="A85" s="53"/>
      <c r="B85" s="35" t="s">
        <v>224</v>
      </c>
      <c r="C85" s="25"/>
      <c r="F85" s="36"/>
      <c r="G85" s="36"/>
      <c r="I85" s="27"/>
    </row>
    <row r="86" spans="1:9" s="27" customFormat="1" ht="15.75">
      <c r="A86" s="53">
        <v>45</v>
      </c>
      <c r="B86" s="33"/>
      <c r="C86" s="69" t="s">
        <v>90</v>
      </c>
      <c r="D86" s="160"/>
      <c r="E86" s="160" t="str">
        <f>"(Note "&amp;B$294&amp;")"</f>
        <v>(Note A)</v>
      </c>
      <c r="F86" s="124" t="s">
        <v>57</v>
      </c>
      <c r="G86" s="123"/>
      <c r="H86" s="802">
        <f>+'5 - Cost Support'!F162</f>
        <v>39889238.519142777</v>
      </c>
      <c r="I86" s="168"/>
    </row>
    <row r="87" spans="1:9" ht="15.75">
      <c r="A87" s="53">
        <v>46</v>
      </c>
      <c r="B87" s="24"/>
      <c r="C87" s="168" t="s">
        <v>203</v>
      </c>
      <c r="D87" s="34"/>
      <c r="E87" s="139"/>
      <c r="F87" s="633" t="s">
        <v>706</v>
      </c>
      <c r="G87" s="59"/>
      <c r="H87" s="48">
        <f>+H86</f>
        <v>39889238.519142777</v>
      </c>
      <c r="I87" s="168"/>
    </row>
    <row r="88" spans="1:9" ht="15.75">
      <c r="A88" s="53"/>
      <c r="B88" s="24"/>
      <c r="C88" s="25"/>
      <c r="E88" s="8"/>
      <c r="F88" s="36"/>
      <c r="G88" s="36"/>
      <c r="H88" s="39"/>
      <c r="I88" s="27"/>
    </row>
    <row r="89" spans="1:9" ht="15.75">
      <c r="A89" s="53"/>
      <c r="B89" s="35" t="s">
        <v>219</v>
      </c>
      <c r="C89" s="27"/>
      <c r="D89" s="27"/>
      <c r="E89" s="132"/>
      <c r="F89" s="123"/>
      <c r="G89" s="36"/>
      <c r="H89" s="39"/>
      <c r="I89" s="27"/>
    </row>
    <row r="90" spans="1:9" ht="15.75">
      <c r="A90" s="68">
        <v>47</v>
      </c>
      <c r="B90" s="27"/>
      <c r="C90" s="27" t="s">
        <v>283</v>
      </c>
      <c r="D90" s="26"/>
      <c r="E90" s="151" t="str">
        <f>"(Note "&amp;B$294&amp;")"</f>
        <v>(Note A)</v>
      </c>
      <c r="F90" s="25" t="s">
        <v>696</v>
      </c>
      <c r="H90" s="28">
        <v>0</v>
      </c>
      <c r="I90" s="168"/>
    </row>
    <row r="91" spans="1:9" s="27" customFormat="1" ht="15.75">
      <c r="A91" s="53">
        <v>48</v>
      </c>
      <c r="B91" s="24"/>
      <c r="C91" s="69" t="s">
        <v>334</v>
      </c>
      <c r="D91" s="70"/>
      <c r="E91" s="140"/>
      <c r="F91" s="851" t="str">
        <f>"(Line "&amp;A$16&amp;")"</f>
        <v>(Line 5)</v>
      </c>
      <c r="G91" s="72"/>
      <c r="H91" s="37">
        <f>+H16</f>
        <v>0.17040128500007015</v>
      </c>
      <c r="I91" s="168"/>
    </row>
    <row r="92" spans="1:9" ht="15.75">
      <c r="A92" s="53">
        <v>49</v>
      </c>
      <c r="B92" s="24"/>
      <c r="C92" s="43" t="s">
        <v>350</v>
      </c>
      <c r="D92" s="26"/>
      <c r="E92" s="68"/>
      <c r="F92" s="632" t="str">
        <f>"(Line "&amp;A90&amp;" * "&amp;A91&amp;")"</f>
        <v>(Line 47 * 48)</v>
      </c>
      <c r="G92" s="36"/>
      <c r="H92" s="45">
        <f>+H90*H91</f>
        <v>0</v>
      </c>
      <c r="I92" s="168"/>
    </row>
    <row r="93" spans="1:9" ht="15.75">
      <c r="A93" s="53">
        <v>50</v>
      </c>
      <c r="B93" s="24"/>
      <c r="C93" s="43" t="s">
        <v>205</v>
      </c>
      <c r="D93" s="26"/>
      <c r="E93" s="53"/>
      <c r="F93" s="124" t="s">
        <v>335</v>
      </c>
      <c r="G93" s="36"/>
      <c r="H93" s="222">
        <v>2514434</v>
      </c>
      <c r="I93" s="168"/>
    </row>
    <row r="94" spans="1:9" ht="18" customHeight="1">
      <c r="A94" s="53">
        <v>51</v>
      </c>
      <c r="B94" s="24"/>
      <c r="C94" s="864" t="s">
        <v>218</v>
      </c>
      <c r="D94" s="109"/>
      <c r="E94" s="865"/>
      <c r="F94" s="632" t="str">
        <f>"(Line "&amp;A92&amp;" + "&amp;A93&amp;")"</f>
        <v>(Line 49 + 50)</v>
      </c>
      <c r="G94" s="46"/>
      <c r="H94" s="110">
        <f>SUM(H92:H93)</f>
        <v>2514434</v>
      </c>
      <c r="I94" s="168"/>
    </row>
    <row r="95" spans="1:9" ht="15.75">
      <c r="A95" s="53"/>
      <c r="B95" s="24"/>
      <c r="C95" s="25"/>
      <c r="E95" s="8"/>
      <c r="F95" s="36"/>
      <c r="G95" s="36"/>
      <c r="I95" s="27"/>
    </row>
    <row r="96" spans="1:9" ht="15.75">
      <c r="A96" s="53"/>
      <c r="B96" s="35" t="s">
        <v>225</v>
      </c>
      <c r="C96" s="27"/>
      <c r="F96" s="36"/>
      <c r="G96" s="36"/>
      <c r="I96" s="27"/>
    </row>
    <row r="97" spans="1:9" ht="15.75">
      <c r="A97" s="53">
        <v>52</v>
      </c>
      <c r="B97" s="24"/>
      <c r="C97" s="25" t="s">
        <v>343</v>
      </c>
      <c r="D97" s="44"/>
      <c r="F97" s="632" t="s">
        <v>707</v>
      </c>
      <c r="G97" s="36"/>
      <c r="H97" s="28">
        <f>+H144</f>
        <v>76787906.822324231</v>
      </c>
      <c r="I97" s="168"/>
    </row>
    <row r="98" spans="1:9" ht="15.75">
      <c r="A98" s="53">
        <v>53</v>
      </c>
      <c r="B98" s="24"/>
      <c r="C98" s="42" t="s">
        <v>336</v>
      </c>
      <c r="D98" s="44"/>
      <c r="F98" s="71" t="s">
        <v>368</v>
      </c>
      <c r="H98" s="161">
        <v>0.125</v>
      </c>
      <c r="I98" s="168"/>
    </row>
    <row r="99" spans="1:9" s="1" customFormat="1" ht="15.75">
      <c r="A99" s="53">
        <v>54</v>
      </c>
      <c r="B99" s="866"/>
      <c r="C99" s="809" t="s">
        <v>204</v>
      </c>
      <c r="D99" s="867"/>
      <c r="E99" s="868"/>
      <c r="F99" s="632" t="str">
        <f>"(Line "&amp;A97&amp;" * "&amp;A98&amp;")"</f>
        <v>(Line 52 * 53)</v>
      </c>
      <c r="G99" s="12"/>
      <c r="H99" s="47">
        <f>+H97*H98</f>
        <v>9598488.3527905289</v>
      </c>
      <c r="I99" s="168"/>
    </row>
    <row r="100" spans="1:9" s="1" customFormat="1" ht="15.75">
      <c r="A100" s="53"/>
      <c r="B100" s="866"/>
      <c r="C100" s="468"/>
      <c r="D100" s="869"/>
      <c r="E100" s="144"/>
      <c r="F100" s="632"/>
      <c r="G100" s="870"/>
      <c r="H100" s="114"/>
      <c r="I100" s="168"/>
    </row>
    <row r="101" spans="1:9" s="1" customFormat="1" ht="15.75">
      <c r="A101" s="168"/>
      <c r="B101" s="468" t="s">
        <v>506</v>
      </c>
      <c r="D101" s="869"/>
      <c r="F101" s="632"/>
      <c r="G101" s="870"/>
      <c r="H101" s="114"/>
      <c r="I101" s="168"/>
    </row>
    <row r="102" spans="1:9" ht="15.75">
      <c r="A102" s="53">
        <v>55</v>
      </c>
      <c r="B102" s="21"/>
      <c r="C102" s="21" t="s">
        <v>507</v>
      </c>
      <c r="D102" s="21"/>
      <c r="E102" s="151" t="str">
        <f>"(Note "&amp;B$316&amp;")"</f>
        <v>(Note N)</v>
      </c>
      <c r="F102" s="21" t="s">
        <v>509</v>
      </c>
      <c r="H102" s="199">
        <f>+'5 - Cost Support'!G174</f>
        <v>0</v>
      </c>
      <c r="I102" s="168"/>
    </row>
    <row r="103" spans="1:9" ht="15.75">
      <c r="A103" s="68">
        <v>56</v>
      </c>
      <c r="B103" s="21"/>
      <c r="C103" s="200" t="s">
        <v>612</v>
      </c>
      <c r="D103" s="200"/>
      <c r="E103" s="526" t="str">
        <f>+E102</f>
        <v>(Note N)</v>
      </c>
      <c r="F103" s="414" t="str">
        <f>+F102</f>
        <v>From PJM</v>
      </c>
      <c r="H103" s="213">
        <v>0</v>
      </c>
      <c r="I103" s="168"/>
    </row>
    <row r="104" spans="1:9" ht="15.75">
      <c r="A104" s="68">
        <v>57</v>
      </c>
      <c r="B104" s="21"/>
      <c r="C104" s="21" t="s">
        <v>508</v>
      </c>
      <c r="D104" s="21"/>
      <c r="F104" s="633" t="s">
        <v>708</v>
      </c>
      <c r="H104" s="1">
        <f>+H102+H103</f>
        <v>0</v>
      </c>
      <c r="I104" s="168"/>
    </row>
    <row r="105" spans="1:9">
      <c r="A105" s="68"/>
      <c r="B105" s="21"/>
      <c r="C105" s="21"/>
      <c r="D105" s="21"/>
      <c r="I105" s="27"/>
    </row>
    <row r="106" spans="1:9" ht="16.5" thickBot="1">
      <c r="A106" s="68">
        <v>58</v>
      </c>
      <c r="B106" s="665" t="s">
        <v>337</v>
      </c>
      <c r="C106" s="665"/>
      <c r="D106" s="665"/>
      <c r="E106" s="666"/>
      <c r="F106" s="634" t="s">
        <v>777</v>
      </c>
      <c r="G106" s="665"/>
      <c r="H106" s="667">
        <f>SUM(H77,H80,H83,H87,H94,H99,H104)</f>
        <v>-242744445.4631826</v>
      </c>
      <c r="I106" s="168"/>
    </row>
    <row r="107" spans="1:9" ht="15.75" thickTop="1">
      <c r="A107" s="68"/>
      <c r="B107" s="21"/>
      <c r="C107" s="21"/>
      <c r="D107" s="21"/>
      <c r="I107" s="27"/>
    </row>
    <row r="108" spans="1:9" ht="16.5" thickBot="1">
      <c r="A108" s="53">
        <v>59</v>
      </c>
      <c r="B108" s="17" t="s">
        <v>326</v>
      </c>
      <c r="C108" s="17"/>
      <c r="D108" s="17"/>
      <c r="E108" s="138"/>
      <c r="F108" s="634" t="s">
        <v>709</v>
      </c>
      <c r="G108" s="17"/>
      <c r="H108" s="18">
        <f>+H69+H106</f>
        <v>887350469.03172386</v>
      </c>
      <c r="I108" s="168"/>
    </row>
    <row r="109" spans="1:9" ht="15.75" thickTop="1">
      <c r="B109" s="21"/>
      <c r="C109" s="21"/>
      <c r="D109" s="21"/>
      <c r="I109" s="27"/>
    </row>
    <row r="110" spans="1:9" s="843" customFormat="1" ht="15.75">
      <c r="A110" s="871" t="s">
        <v>374</v>
      </c>
      <c r="B110" s="872"/>
      <c r="C110" s="873"/>
      <c r="D110" s="874"/>
      <c r="E110" s="875"/>
      <c r="H110" s="842"/>
      <c r="I110" s="842"/>
    </row>
    <row r="111" spans="1:9" s="27" customFormat="1" ht="15.75">
      <c r="A111" s="26"/>
      <c r="B111" s="26"/>
      <c r="C111" s="26"/>
      <c r="D111" s="26"/>
      <c r="E111" s="141"/>
      <c r="H111" s="88"/>
    </row>
    <row r="112" spans="1:9" ht="15.75">
      <c r="A112" s="8"/>
      <c r="B112" s="7" t="s">
        <v>310</v>
      </c>
      <c r="D112" s="721"/>
      <c r="E112" s="505"/>
      <c r="G112" s="721"/>
      <c r="H112" s="721"/>
      <c r="I112" s="27"/>
    </row>
    <row r="113" spans="1:13" ht="15.75">
      <c r="A113" s="53">
        <v>60</v>
      </c>
      <c r="B113" s="8"/>
      <c r="C113" s="852" t="s">
        <v>310</v>
      </c>
      <c r="D113" s="26"/>
      <c r="E113" s="68"/>
      <c r="F113" s="638" t="s">
        <v>188</v>
      </c>
      <c r="G113" s="19"/>
      <c r="H113" s="802">
        <v>45398943</v>
      </c>
      <c r="I113" s="168"/>
    </row>
    <row r="114" spans="1:13" ht="15.75">
      <c r="A114" s="53">
        <v>61</v>
      </c>
      <c r="B114" s="8"/>
      <c r="C114" s="852" t="s">
        <v>238</v>
      </c>
      <c r="D114" s="26"/>
      <c r="E114" s="68"/>
      <c r="F114" s="638" t="s">
        <v>57</v>
      </c>
      <c r="G114" s="19"/>
      <c r="H114" s="638">
        <f>'5 - Cost Support'!G166</f>
        <v>0</v>
      </c>
      <c r="I114" s="168"/>
    </row>
    <row r="115" spans="1:13" ht="15.75">
      <c r="A115" s="53">
        <v>62</v>
      </c>
      <c r="B115" s="8"/>
      <c r="C115" s="852" t="s">
        <v>239</v>
      </c>
      <c r="D115" s="26"/>
      <c r="E115" s="68"/>
      <c r="F115" s="638" t="s">
        <v>57</v>
      </c>
      <c r="G115" s="19"/>
      <c r="H115" s="638">
        <f>+'5 - Cost Support'!J167</f>
        <v>0</v>
      </c>
      <c r="I115" s="168"/>
    </row>
    <row r="116" spans="1:13" ht="15.75">
      <c r="A116" s="53">
        <v>63</v>
      </c>
      <c r="B116" s="8"/>
      <c r="C116" s="852" t="s">
        <v>375</v>
      </c>
      <c r="D116" s="26"/>
      <c r="E116" s="68"/>
      <c r="F116" s="638" t="s">
        <v>189</v>
      </c>
      <c r="G116" s="26"/>
      <c r="H116" s="802">
        <v>0</v>
      </c>
      <c r="I116" s="168"/>
    </row>
    <row r="117" spans="1:13" ht="15.75">
      <c r="A117" s="53">
        <v>64</v>
      </c>
      <c r="B117" s="53"/>
      <c r="C117" s="852" t="s">
        <v>243</v>
      </c>
      <c r="D117" s="26"/>
      <c r="E117" s="151" t="str">
        <f>"(Note "&amp;B$319&amp;")"</f>
        <v>(Note O)</v>
      </c>
      <c r="F117" s="638" t="s">
        <v>511</v>
      </c>
      <c r="G117" s="26"/>
      <c r="H117" s="802">
        <v>0</v>
      </c>
      <c r="I117" s="168"/>
    </row>
    <row r="118" spans="1:13" ht="15.75">
      <c r="A118" s="53">
        <v>65</v>
      </c>
      <c r="B118" s="8"/>
      <c r="C118" s="852" t="s">
        <v>311</v>
      </c>
      <c r="D118" s="638"/>
      <c r="E118" s="160" t="str">
        <f>"(Note "&amp;B$294&amp;")"</f>
        <v>(Note A)</v>
      </c>
      <c r="F118" s="636" t="s">
        <v>57</v>
      </c>
      <c r="G118" s="26"/>
      <c r="H118" s="856">
        <f>+'5 - Cost Support'!H68</f>
        <v>0</v>
      </c>
      <c r="I118" s="168"/>
    </row>
    <row r="119" spans="1:13" ht="15.75">
      <c r="A119" s="53">
        <v>66</v>
      </c>
      <c r="B119" s="26"/>
      <c r="C119" s="14" t="s">
        <v>310</v>
      </c>
      <c r="D119" s="30"/>
      <c r="E119" s="142"/>
      <c r="F119" s="635" t="s">
        <v>710</v>
      </c>
      <c r="G119" s="32"/>
      <c r="H119" s="217">
        <f>+H113-H114+H115-H116+H117+H118</f>
        <v>45398943</v>
      </c>
      <c r="I119" s="168"/>
    </row>
    <row r="120" spans="1:13" ht="15.75">
      <c r="A120" s="53"/>
      <c r="B120" s="53"/>
      <c r="C120" s="7"/>
      <c r="D120" s="26"/>
      <c r="E120" s="850"/>
      <c r="F120" s="26"/>
      <c r="G120" s="26"/>
      <c r="H120" s="13"/>
      <c r="I120" s="27"/>
    </row>
    <row r="121" spans="1:13" ht="15.75">
      <c r="A121" s="53"/>
      <c r="B121" s="7" t="s">
        <v>208</v>
      </c>
      <c r="C121" s="26"/>
      <c r="D121" s="26"/>
      <c r="E121" s="850"/>
      <c r="F121" s="26"/>
      <c r="G121" s="26"/>
      <c r="H121" s="13"/>
      <c r="I121" s="27"/>
    </row>
    <row r="122" spans="1:13">
      <c r="A122" s="53">
        <v>67</v>
      </c>
      <c r="B122" s="53"/>
      <c r="C122" s="852" t="s">
        <v>313</v>
      </c>
      <c r="D122" s="26"/>
      <c r="E122" s="151" t="str">
        <f>"(Note "&amp;B$294&amp;")"</f>
        <v>(Note A)</v>
      </c>
      <c r="F122" s="721" t="s">
        <v>175</v>
      </c>
      <c r="G122" s="26"/>
      <c r="H122" s="802">
        <v>0</v>
      </c>
      <c r="I122" s="27"/>
    </row>
    <row r="123" spans="1:13" ht="15.75">
      <c r="A123" s="53">
        <v>68</v>
      </c>
      <c r="B123" s="53"/>
      <c r="C123" s="852" t="s">
        <v>315</v>
      </c>
      <c r="D123" s="26"/>
      <c r="E123" s="68"/>
      <c r="F123" s="638" t="s">
        <v>57</v>
      </c>
      <c r="G123" s="26"/>
      <c r="H123" s="802">
        <f>+'5 - Cost Support'!I83</f>
        <v>186150787.53999999</v>
      </c>
      <c r="I123" s="168"/>
      <c r="J123" s="27"/>
      <c r="K123" s="27"/>
      <c r="L123" s="27"/>
      <c r="M123" s="27"/>
    </row>
    <row r="124" spans="1:13" ht="15.75">
      <c r="A124" s="53" t="s">
        <v>968</v>
      </c>
      <c r="B124" s="53"/>
      <c r="C124" s="852" t="s">
        <v>989</v>
      </c>
      <c r="D124" s="26"/>
      <c r="E124" s="151" t="s">
        <v>215</v>
      </c>
      <c r="F124" s="638" t="s">
        <v>57</v>
      </c>
      <c r="G124" s="26"/>
      <c r="H124" s="802">
        <f>+'5 - Cost Support'!I245</f>
        <v>6927760</v>
      </c>
      <c r="I124" s="168"/>
    </row>
    <row r="125" spans="1:13" ht="15.75">
      <c r="A125" s="53">
        <v>69</v>
      </c>
      <c r="B125" s="53"/>
      <c r="C125" s="852" t="s">
        <v>382</v>
      </c>
      <c r="D125" s="638"/>
      <c r="E125" s="68"/>
      <c r="F125" s="852" t="s">
        <v>190</v>
      </c>
      <c r="G125" s="9"/>
      <c r="H125" s="802">
        <v>155375</v>
      </c>
      <c r="I125" s="168"/>
      <c r="J125" s="1032"/>
      <c r="K125" s="1032"/>
    </row>
    <row r="126" spans="1:13" ht="15.75">
      <c r="A126" s="53">
        <v>70</v>
      </c>
      <c r="B126" s="53"/>
      <c r="C126" s="852" t="s">
        <v>383</v>
      </c>
      <c r="D126" s="638"/>
      <c r="E126" s="151" t="str">
        <f>"(Note "&amp;B$300&amp;")"</f>
        <v>(Note E)</v>
      </c>
      <c r="F126" s="852" t="s">
        <v>191</v>
      </c>
      <c r="G126" s="9"/>
      <c r="H126" s="802">
        <v>250956</v>
      </c>
      <c r="I126" s="168"/>
    </row>
    <row r="127" spans="1:13" ht="15.75">
      <c r="A127" s="53">
        <v>71</v>
      </c>
      <c r="B127" s="53"/>
      <c r="C127" s="852" t="s">
        <v>384</v>
      </c>
      <c r="D127" s="638"/>
      <c r="E127" s="68"/>
      <c r="F127" s="852" t="s">
        <v>192</v>
      </c>
      <c r="G127" s="9"/>
      <c r="H127" s="802">
        <v>1479318</v>
      </c>
      <c r="I127" s="168"/>
    </row>
    <row r="128" spans="1:13" ht="15.75">
      <c r="A128" s="53">
        <v>72</v>
      </c>
      <c r="B128" s="53"/>
      <c r="C128" s="852" t="s">
        <v>356</v>
      </c>
      <c r="D128" s="21"/>
      <c r="E128" s="151" t="str">
        <f>"(Note "&amp;B$299&amp;")"</f>
        <v>(Note D)</v>
      </c>
      <c r="F128" s="636" t="s">
        <v>329</v>
      </c>
      <c r="G128" s="26"/>
      <c r="H128" s="802">
        <v>386756</v>
      </c>
      <c r="I128" s="168"/>
    </row>
    <row r="129" spans="1:9" ht="15.75">
      <c r="A129" s="53">
        <v>73</v>
      </c>
      <c r="B129" s="53"/>
      <c r="C129" s="14" t="s">
        <v>206</v>
      </c>
      <c r="D129" s="30"/>
      <c r="E129" s="876"/>
      <c r="F129" s="635" t="s">
        <v>711</v>
      </c>
      <c r="G129" s="34"/>
      <c r="H129" s="845">
        <f>H122+H123-H125-H126-H127-H128</f>
        <v>183878382.53999999</v>
      </c>
      <c r="I129" s="168"/>
    </row>
    <row r="130" spans="1:9" ht="15.75">
      <c r="A130" s="53">
        <v>74</v>
      </c>
      <c r="B130" s="53"/>
      <c r="C130" s="43" t="s">
        <v>334</v>
      </c>
      <c r="D130" s="42"/>
      <c r="F130" s="150" t="str">
        <f>"(Line "&amp;A$16&amp;")"</f>
        <v>(Line 5)</v>
      </c>
      <c r="G130" s="36"/>
      <c r="H130" s="39">
        <f>+H16</f>
        <v>0.17040128500007015</v>
      </c>
      <c r="I130" s="168"/>
    </row>
    <row r="131" spans="1:9" ht="15.75">
      <c r="A131" s="53">
        <v>75</v>
      </c>
      <c r="B131" s="53"/>
      <c r="C131" s="14" t="s">
        <v>217</v>
      </c>
      <c r="D131" s="30"/>
      <c r="E131" s="846"/>
      <c r="F131" s="635" t="s">
        <v>712</v>
      </c>
      <c r="G131" s="34"/>
      <c r="H131" s="215">
        <f>+H130*H129</f>
        <v>31333112.668550462</v>
      </c>
      <c r="I131" s="168"/>
    </row>
    <row r="132" spans="1:9" ht="15.75">
      <c r="A132" s="53"/>
      <c r="B132" s="53"/>
      <c r="C132" s="20"/>
      <c r="D132" s="56"/>
      <c r="E132" s="860"/>
      <c r="F132" s="38"/>
      <c r="G132" s="38"/>
      <c r="H132" s="632"/>
      <c r="I132" s="27"/>
    </row>
    <row r="133" spans="1:9" ht="15.75">
      <c r="A133" s="53"/>
      <c r="B133" s="7" t="s">
        <v>207</v>
      </c>
      <c r="C133" s="27"/>
      <c r="D133" s="56"/>
      <c r="E133" s="860"/>
      <c r="F133" s="38"/>
      <c r="G133" s="38"/>
      <c r="H133" s="632"/>
      <c r="I133" s="27"/>
    </row>
    <row r="134" spans="1:9" ht="15.75">
      <c r="A134" s="53">
        <v>76</v>
      </c>
      <c r="B134" s="24"/>
      <c r="C134" s="25" t="s">
        <v>386</v>
      </c>
      <c r="D134" s="135"/>
      <c r="E134" s="151" t="str">
        <f>"(Note "&amp;B$302&amp;")"</f>
        <v>(Note G)</v>
      </c>
      <c r="F134" s="25" t="s">
        <v>193</v>
      </c>
      <c r="G134" s="27"/>
      <c r="H134" s="802">
        <v>19807</v>
      </c>
      <c r="I134" s="168"/>
    </row>
    <row r="135" spans="1:9" ht="15.75">
      <c r="A135" s="53">
        <v>77</v>
      </c>
      <c r="B135" s="24"/>
      <c r="C135" s="124" t="s">
        <v>387</v>
      </c>
      <c r="D135" s="159"/>
      <c r="E135" s="160" t="str">
        <f>"(Note "&amp;B$313&amp;")"</f>
        <v>(Note K)</v>
      </c>
      <c r="F135" s="124" t="s">
        <v>192</v>
      </c>
      <c r="G135" s="27"/>
      <c r="H135" s="223">
        <v>0</v>
      </c>
      <c r="I135" s="168"/>
    </row>
    <row r="136" spans="1:9" ht="15.75">
      <c r="A136" s="53">
        <v>78</v>
      </c>
      <c r="B136" s="24"/>
      <c r="C136" s="25" t="s">
        <v>357</v>
      </c>
      <c r="D136" s="26"/>
      <c r="E136" s="132"/>
      <c r="F136" s="635" t="s">
        <v>713</v>
      </c>
      <c r="G136" s="27"/>
      <c r="H136" s="221">
        <f>+H135+H134</f>
        <v>19807</v>
      </c>
      <c r="I136" s="168"/>
    </row>
    <row r="137" spans="1:9" ht="15.75">
      <c r="A137" s="53"/>
      <c r="B137" s="24"/>
      <c r="C137" s="25"/>
      <c r="D137" s="26"/>
      <c r="E137" s="132"/>
      <c r="F137" s="25"/>
      <c r="G137" s="27"/>
      <c r="H137" s="123"/>
      <c r="I137" s="27"/>
    </row>
    <row r="138" spans="1:9" ht="15.75">
      <c r="A138" s="53">
        <v>79</v>
      </c>
      <c r="B138" s="24"/>
      <c r="C138" s="25" t="s">
        <v>388</v>
      </c>
      <c r="D138" s="26"/>
      <c r="F138" s="25" t="s">
        <v>347</v>
      </c>
      <c r="G138" s="27"/>
      <c r="H138" s="222">
        <f>H125</f>
        <v>155375</v>
      </c>
      <c r="I138" s="168"/>
    </row>
    <row r="139" spans="1:9" ht="15.75">
      <c r="A139" s="53">
        <v>80</v>
      </c>
      <c r="B139" s="24"/>
      <c r="C139" s="25" t="s">
        <v>387</v>
      </c>
      <c r="D139" s="26"/>
      <c r="E139" s="151" t="str">
        <f>"(Note "&amp;B$301&amp;")"</f>
        <v>(Note F)</v>
      </c>
      <c r="F139" s="124" t="s">
        <v>192</v>
      </c>
      <c r="G139" s="27"/>
      <c r="H139" s="223">
        <v>0</v>
      </c>
      <c r="I139" s="168"/>
    </row>
    <row r="140" spans="1:9" ht="15.75">
      <c r="A140" s="53">
        <v>81</v>
      </c>
      <c r="B140" s="24"/>
      <c r="C140" s="29" t="s">
        <v>340</v>
      </c>
      <c r="D140" s="30"/>
      <c r="E140" s="136"/>
      <c r="F140" s="635" t="s">
        <v>714</v>
      </c>
      <c r="G140" s="32"/>
      <c r="H140" s="584">
        <f>+H138+H139</f>
        <v>155375</v>
      </c>
      <c r="I140" s="168"/>
    </row>
    <row r="141" spans="1:9" ht="15.75">
      <c r="A141" s="53">
        <v>82</v>
      </c>
      <c r="B141" s="53"/>
      <c r="C141" s="74" t="s">
        <v>281</v>
      </c>
      <c r="D141" s="42"/>
      <c r="E141" s="8"/>
      <c r="F141" s="636" t="str">
        <f>"(Line "&amp;A$35&amp;")"</f>
        <v>(Line 18)</v>
      </c>
      <c r="G141" s="36"/>
      <c r="H141" s="40">
        <f>+H35</f>
        <v>0.23198168156889939</v>
      </c>
      <c r="I141" s="168"/>
    </row>
    <row r="142" spans="1:9" ht="15.75">
      <c r="A142" s="53">
        <v>83</v>
      </c>
      <c r="B142" s="53"/>
      <c r="C142" s="14" t="s">
        <v>209</v>
      </c>
      <c r="D142" s="30"/>
      <c r="E142" s="846"/>
      <c r="F142" s="635" t="s">
        <v>715</v>
      </c>
      <c r="G142" s="34"/>
      <c r="H142" s="76">
        <f>+H141*H140</f>
        <v>36044.153773767743</v>
      </c>
      <c r="I142" s="168"/>
    </row>
    <row r="143" spans="1:9" ht="15.75">
      <c r="A143" s="53"/>
      <c r="B143" s="8"/>
      <c r="C143" s="7"/>
      <c r="D143" s="26"/>
      <c r="E143" s="505"/>
      <c r="F143" s="26"/>
      <c r="G143" s="9"/>
      <c r="H143" s="632"/>
      <c r="I143" s="27"/>
    </row>
    <row r="144" spans="1:9" ht="16.5" thickBot="1">
      <c r="A144" s="53">
        <v>84</v>
      </c>
      <c r="B144" s="8"/>
      <c r="C144" s="15" t="s">
        <v>314</v>
      </c>
      <c r="D144" s="89"/>
      <c r="E144" s="877"/>
      <c r="F144" s="637" t="s">
        <v>716</v>
      </c>
      <c r="G144" s="90"/>
      <c r="H144" s="16">
        <f>+H119+H131+H136+H142</f>
        <v>76787906.822324231</v>
      </c>
      <c r="I144" s="168"/>
    </row>
    <row r="145" spans="1:9" ht="16.5" thickTop="1">
      <c r="A145" s="23"/>
      <c r="B145" s="8"/>
      <c r="C145" s="7"/>
      <c r="D145" s="26"/>
      <c r="E145" s="505"/>
      <c r="F145" s="9"/>
      <c r="G145" s="9"/>
      <c r="H145" s="13"/>
    </row>
    <row r="146" spans="1:9" s="843" customFormat="1" ht="15.75">
      <c r="A146" s="871" t="s">
        <v>306</v>
      </c>
      <c r="B146" s="872"/>
      <c r="C146" s="873"/>
      <c r="D146" s="874"/>
      <c r="E146" s="875"/>
      <c r="H146" s="842"/>
    </row>
    <row r="147" spans="1:9" ht="15.75">
      <c r="A147" s="7"/>
      <c r="B147" s="8"/>
      <c r="C147" s="7"/>
      <c r="D147" s="26"/>
      <c r="E147" s="505"/>
      <c r="F147" s="9"/>
      <c r="G147" s="9"/>
      <c r="H147" s="13"/>
    </row>
    <row r="148" spans="1:9" ht="15.75">
      <c r="A148" s="67"/>
      <c r="B148" s="73" t="s">
        <v>170</v>
      </c>
      <c r="C148" s="21"/>
      <c r="F148" s="49"/>
      <c r="G148" s="49"/>
      <c r="H148" s="50"/>
    </row>
    <row r="149" spans="1:9" ht="15.75">
      <c r="A149" s="53">
        <v>85</v>
      </c>
      <c r="B149" s="22"/>
      <c r="C149" s="25" t="s">
        <v>172</v>
      </c>
      <c r="E149" s="8"/>
      <c r="F149" s="23" t="s">
        <v>57</v>
      </c>
      <c r="H149" s="218">
        <f>+'5 - Cost Support'!H32</f>
        <v>32412596.420000002</v>
      </c>
      <c r="I149" s="168"/>
    </row>
    <row r="150" spans="1:9" ht="15.75">
      <c r="A150" s="53" t="s">
        <v>717</v>
      </c>
      <c r="B150" s="24"/>
      <c r="C150" s="25" t="s">
        <v>697</v>
      </c>
      <c r="D150" s="26"/>
      <c r="E150" s="151" t="s">
        <v>778</v>
      </c>
      <c r="F150" s="25" t="s">
        <v>57</v>
      </c>
      <c r="G150" s="27"/>
      <c r="H150" s="221">
        <f>+'5 - Cost Support'!G191</f>
        <v>1159350.1399999999</v>
      </c>
      <c r="I150" s="168"/>
    </row>
    <row r="151" spans="1:9" ht="15.75">
      <c r="A151" s="8"/>
      <c r="B151" s="22"/>
      <c r="C151" s="23"/>
      <c r="E151" s="8"/>
      <c r="F151" s="79"/>
      <c r="G151" s="36"/>
      <c r="H151" s="39"/>
      <c r="I151" s="27"/>
    </row>
    <row r="152" spans="1:9" ht="15.75">
      <c r="A152" s="53">
        <v>86</v>
      </c>
      <c r="B152" s="22"/>
      <c r="C152" s="878" t="s">
        <v>338</v>
      </c>
      <c r="D152" s="38"/>
      <c r="E152" s="54"/>
      <c r="F152" s="55" t="s">
        <v>57</v>
      </c>
      <c r="H152" s="222">
        <f>+'5 - Cost Support'!H33</f>
        <v>5898960</v>
      </c>
      <c r="I152" s="168"/>
    </row>
    <row r="153" spans="1:9" ht="15.75">
      <c r="A153" s="53">
        <v>87</v>
      </c>
      <c r="B153" s="22"/>
      <c r="C153" s="124" t="s">
        <v>282</v>
      </c>
      <c r="D153" s="77"/>
      <c r="E153" s="160" t="str">
        <f>"(Note "&amp;B$294&amp;")"</f>
        <v>(Note A)</v>
      </c>
      <c r="F153" s="124" t="s">
        <v>57</v>
      </c>
      <c r="H153" s="223">
        <f>+'5 - Cost Support'!H34</f>
        <v>3352525.87</v>
      </c>
      <c r="I153" s="168"/>
    </row>
    <row r="154" spans="1:9" ht="15.75">
      <c r="A154" s="53">
        <v>88</v>
      </c>
      <c r="B154" s="22"/>
      <c r="C154" s="55" t="s">
        <v>340</v>
      </c>
      <c r="D154" s="38"/>
      <c r="E154" s="54"/>
      <c r="F154" s="635" t="s">
        <v>718</v>
      </c>
      <c r="H154" s="28">
        <f>SUM(H152:H153)</f>
        <v>9251485.870000001</v>
      </c>
      <c r="I154" s="168"/>
    </row>
    <row r="155" spans="1:9" ht="15.75">
      <c r="A155" s="53">
        <v>89</v>
      </c>
      <c r="B155" s="22"/>
      <c r="C155" s="69" t="s">
        <v>334</v>
      </c>
      <c r="D155" s="70"/>
      <c r="E155" s="143"/>
      <c r="F155" s="150" t="s">
        <v>79</v>
      </c>
      <c r="G155" s="72"/>
      <c r="H155" s="78">
        <f>+H16</f>
        <v>0.17040128500007015</v>
      </c>
      <c r="I155" s="168"/>
    </row>
    <row r="156" spans="1:9" ht="15.75">
      <c r="A156" s="53">
        <v>90</v>
      </c>
      <c r="B156" s="22"/>
      <c r="C156" s="79" t="s">
        <v>285</v>
      </c>
      <c r="E156" s="8"/>
      <c r="F156" s="635" t="s">
        <v>719</v>
      </c>
      <c r="G156" s="36"/>
      <c r="H156" s="114">
        <f>+H154*H155</f>
        <v>1576465.0804079922</v>
      </c>
      <c r="I156" s="168"/>
    </row>
    <row r="157" spans="1:9" ht="15.75">
      <c r="A157" s="53"/>
      <c r="B157" s="24"/>
      <c r="C157" s="25"/>
      <c r="D157" s="26"/>
      <c r="E157" s="53"/>
      <c r="F157" s="25"/>
      <c r="G157" s="36"/>
      <c r="H157" s="51"/>
      <c r="I157" s="27"/>
    </row>
    <row r="158" spans="1:9" ht="15.75">
      <c r="A158" s="53">
        <v>91</v>
      </c>
      <c r="B158" s="24"/>
      <c r="C158" s="25" t="s">
        <v>151</v>
      </c>
      <c r="D158" s="26"/>
      <c r="E158" s="151" t="str">
        <f>"(Note "&amp;B$294&amp;")"</f>
        <v>(Note A)</v>
      </c>
      <c r="F158" s="25" t="s">
        <v>57</v>
      </c>
      <c r="H158" s="222">
        <f>+'5 - Cost Support'!H36</f>
        <v>19875625.240952719</v>
      </c>
      <c r="I158" s="168"/>
    </row>
    <row r="159" spans="1:9" ht="15.75">
      <c r="A159" s="53">
        <v>92</v>
      </c>
      <c r="B159" s="24"/>
      <c r="C159" s="124" t="s">
        <v>284</v>
      </c>
      <c r="D159" s="150"/>
      <c r="E159" s="160" t="str">
        <f>"(Note "&amp;B$294&amp;")"</f>
        <v>(Note A)</v>
      </c>
      <c r="F159" s="124" t="s">
        <v>57</v>
      </c>
      <c r="H159" s="223">
        <f>+'5 - Cost Support'!H37</f>
        <v>25341278.238959998</v>
      </c>
      <c r="I159" s="168"/>
    </row>
    <row r="160" spans="1:9" ht="15.75">
      <c r="A160" s="53">
        <v>93</v>
      </c>
      <c r="B160" s="24"/>
      <c r="C160" s="25" t="s">
        <v>340</v>
      </c>
      <c r="D160" s="26"/>
      <c r="E160" s="53"/>
      <c r="F160" s="635" t="s">
        <v>720</v>
      </c>
      <c r="H160" s="28">
        <f>+H159+H158</f>
        <v>45216903.479912713</v>
      </c>
      <c r="I160" s="168"/>
    </row>
    <row r="161" spans="1:9" ht="15.75">
      <c r="A161" s="53">
        <v>94</v>
      </c>
      <c r="B161" s="24"/>
      <c r="C161" s="69" t="s">
        <v>334</v>
      </c>
      <c r="D161" s="70"/>
      <c r="E161" s="143"/>
      <c r="F161" s="150" t="str">
        <f>"(Line "&amp;A$16&amp;")"</f>
        <v>(Line 5)</v>
      </c>
      <c r="G161" s="72"/>
      <c r="H161" s="78">
        <f>+H16</f>
        <v>0.17040128500007015</v>
      </c>
      <c r="I161" s="168"/>
    </row>
    <row r="162" spans="1:9" ht="15.75">
      <c r="A162" s="53">
        <v>95</v>
      </c>
      <c r="B162" s="24"/>
      <c r="C162" s="79" t="s">
        <v>286</v>
      </c>
      <c r="D162" s="26"/>
      <c r="E162" s="53"/>
      <c r="F162" s="635" t="s">
        <v>721</v>
      </c>
      <c r="G162" s="36"/>
      <c r="H162" s="114">
        <f>+H161*H160</f>
        <v>7705018.4567012703</v>
      </c>
      <c r="I162" s="168"/>
    </row>
    <row r="163" spans="1:9" ht="15.75">
      <c r="A163" s="53"/>
      <c r="B163" s="24"/>
      <c r="C163" s="21"/>
      <c r="D163" s="26"/>
      <c r="E163" s="53"/>
      <c r="F163" s="25"/>
      <c r="G163" s="36"/>
      <c r="H163" s="41"/>
      <c r="I163" s="27"/>
    </row>
    <row r="164" spans="1:9" ht="15.75">
      <c r="A164" s="80"/>
      <c r="B164" s="11"/>
      <c r="C164" s="25"/>
      <c r="D164" s="26"/>
      <c r="E164" s="53"/>
      <c r="F164" s="25"/>
      <c r="G164" s="36"/>
      <c r="H164" s="39"/>
      <c r="I164" s="27"/>
    </row>
    <row r="165" spans="1:9" s="1" customFormat="1" ht="16.5" thickBot="1">
      <c r="A165" s="53">
        <v>96</v>
      </c>
      <c r="B165" s="668" t="s">
        <v>307</v>
      </c>
      <c r="C165" s="668"/>
      <c r="D165" s="669"/>
      <c r="E165" s="670"/>
      <c r="F165" s="637" t="s">
        <v>722</v>
      </c>
      <c r="G165" s="671"/>
      <c r="H165" s="672">
        <f>+H149+H150+H156+H162</f>
        <v>42853430.097109266</v>
      </c>
      <c r="I165" s="168"/>
    </row>
    <row r="166" spans="1:9" ht="15.75" thickTop="1"/>
    <row r="167" spans="1:9" s="843" customFormat="1" ht="15.75">
      <c r="A167" s="871" t="s">
        <v>684</v>
      </c>
      <c r="B167" s="872"/>
      <c r="C167" s="873"/>
      <c r="D167" s="874"/>
      <c r="E167" s="879"/>
      <c r="H167" s="842"/>
    </row>
    <row r="168" spans="1:9" ht="15.75">
      <c r="A168" s="862"/>
      <c r="B168" s="8"/>
      <c r="C168" s="7"/>
      <c r="D168" s="26"/>
      <c r="E168" s="505"/>
      <c r="F168" s="9"/>
      <c r="G168" s="9"/>
      <c r="H168" s="13"/>
    </row>
    <row r="169" spans="1:9" ht="15.75">
      <c r="A169" s="53">
        <v>97</v>
      </c>
      <c r="B169" s="35" t="s">
        <v>146</v>
      </c>
      <c r="C169" s="33"/>
      <c r="E169" s="151"/>
      <c r="F169" s="27" t="s">
        <v>450</v>
      </c>
      <c r="G169" s="27"/>
      <c r="H169" s="191">
        <f>+'2 - Other Tax'!G44</f>
        <v>21144426.088327516</v>
      </c>
      <c r="I169" s="168"/>
    </row>
    <row r="170" spans="1:9">
      <c r="A170" s="68"/>
      <c r="B170" s="26"/>
      <c r="E170" s="8"/>
      <c r="F170" s="23"/>
      <c r="G170" s="27"/>
      <c r="I170" s="27"/>
    </row>
    <row r="171" spans="1:9" ht="16.5" thickBot="1">
      <c r="A171" s="53">
        <v>98</v>
      </c>
      <c r="B171" s="15" t="s">
        <v>163</v>
      </c>
      <c r="C171" s="15"/>
      <c r="D171" s="83"/>
      <c r="E171" s="138"/>
      <c r="F171" s="637" t="s">
        <v>723</v>
      </c>
      <c r="G171" s="17"/>
      <c r="H171" s="18">
        <f>+H169</f>
        <v>21144426.088327516</v>
      </c>
      <c r="I171" s="168"/>
    </row>
    <row r="172" spans="1:9" ht="15.75" thickTop="1">
      <c r="A172" s="67"/>
    </row>
    <row r="173" spans="1:9" s="843" customFormat="1" ht="15.75">
      <c r="A173" s="871" t="s">
        <v>287</v>
      </c>
      <c r="B173" s="872"/>
      <c r="C173" s="873"/>
      <c r="D173" s="874"/>
      <c r="E173" s="875"/>
      <c r="H173" s="842"/>
    </row>
    <row r="174" spans="1:9" ht="15.75">
      <c r="A174" s="23"/>
      <c r="B174" s="8"/>
      <c r="C174" s="7"/>
      <c r="D174" s="26"/>
      <c r="E174" s="505"/>
      <c r="F174" s="9"/>
      <c r="G174" s="9"/>
      <c r="H174" s="13"/>
    </row>
    <row r="175" spans="1:9" ht="15.75">
      <c r="A175" s="53"/>
      <c r="B175" s="61" t="s">
        <v>165</v>
      </c>
      <c r="D175" s="38"/>
      <c r="E175" s="860"/>
      <c r="G175" s="632"/>
    </row>
    <row r="176" spans="1:9" ht="15.75">
      <c r="A176" s="53">
        <v>99</v>
      </c>
      <c r="B176" s="61"/>
      <c r="C176" s="9" t="s">
        <v>165</v>
      </c>
      <c r="D176" s="38"/>
      <c r="E176" s="860"/>
      <c r="F176" s="635" t="s">
        <v>75</v>
      </c>
      <c r="G176" s="632"/>
      <c r="H176" s="856">
        <f>86082319+2565290+657412+20688243</f>
        <v>109993264</v>
      </c>
      <c r="I176" s="168"/>
    </row>
    <row r="177" spans="1:9" ht="15.75">
      <c r="A177" s="53">
        <v>100</v>
      </c>
      <c r="B177" s="53"/>
      <c r="C177" s="880" t="s">
        <v>167</v>
      </c>
      <c r="D177" s="150"/>
      <c r="E177" s="537" t="str">
        <f>"(Note "&amp;B$321&amp;")"</f>
        <v>(Note P)</v>
      </c>
      <c r="F177" s="636" t="s">
        <v>56</v>
      </c>
      <c r="G177" s="851"/>
      <c r="H177" s="881">
        <f>+'8 - Securitization'!E14</f>
        <v>5548488</v>
      </c>
      <c r="I177" s="168"/>
    </row>
    <row r="178" spans="1:9" ht="15.75">
      <c r="A178" s="53">
        <v>101</v>
      </c>
      <c r="B178" s="8"/>
      <c r="C178" s="61" t="s">
        <v>165</v>
      </c>
      <c r="D178" s="38"/>
      <c r="E178" s="134"/>
      <c r="F178" s="635" t="s">
        <v>724</v>
      </c>
      <c r="G178" s="632"/>
      <c r="H178" s="632">
        <f>+H176-H177</f>
        <v>104444776</v>
      </c>
      <c r="I178" s="168"/>
    </row>
    <row r="179" spans="1:9">
      <c r="A179" s="53"/>
      <c r="B179" s="8"/>
      <c r="C179" s="721"/>
      <c r="F179" s="9"/>
      <c r="G179" s="721"/>
      <c r="H179" s="721"/>
      <c r="I179" s="27"/>
    </row>
    <row r="180" spans="1:9" ht="15.75">
      <c r="A180" s="53">
        <v>102</v>
      </c>
      <c r="B180" s="4" t="s">
        <v>298</v>
      </c>
      <c r="E180" s="505" t="s">
        <v>331</v>
      </c>
      <c r="F180" s="721" t="s">
        <v>299</v>
      </c>
      <c r="G180" s="721"/>
      <c r="H180" s="95">
        <v>7962260</v>
      </c>
      <c r="I180" s="168"/>
    </row>
    <row r="181" spans="1:9">
      <c r="A181" s="53"/>
      <c r="B181" s="8"/>
      <c r="C181" s="847"/>
      <c r="E181" s="505"/>
      <c r="F181" s="721"/>
      <c r="G181" s="721"/>
      <c r="H181" s="721"/>
      <c r="I181" s="27"/>
    </row>
    <row r="182" spans="1:9" ht="15.75">
      <c r="A182" s="53"/>
      <c r="B182" s="5" t="s">
        <v>147</v>
      </c>
      <c r="E182" s="505"/>
      <c r="F182" s="721"/>
      <c r="G182" s="721"/>
      <c r="H182" s="721"/>
      <c r="I182" s="27"/>
    </row>
    <row r="183" spans="1:9" ht="15.75">
      <c r="A183" s="53">
        <v>103</v>
      </c>
      <c r="B183" s="8"/>
      <c r="C183" s="721" t="s">
        <v>342</v>
      </c>
      <c r="D183" s="721"/>
      <c r="E183" s="505"/>
      <c r="F183" s="638" t="s">
        <v>80</v>
      </c>
      <c r="G183" s="721"/>
      <c r="H183" s="802">
        <v>2848100149</v>
      </c>
      <c r="I183" s="168"/>
    </row>
    <row r="184" spans="1:9" ht="15.75">
      <c r="A184" s="53">
        <v>104</v>
      </c>
      <c r="B184" s="53"/>
      <c r="C184" s="638" t="s">
        <v>289</v>
      </c>
      <c r="D184" s="638"/>
      <c r="E184" s="850" t="s">
        <v>369</v>
      </c>
      <c r="F184" s="56" t="s">
        <v>725</v>
      </c>
      <c r="G184" s="721"/>
      <c r="H184" s="638">
        <f>-H196</f>
        <v>0</v>
      </c>
      <c r="I184" s="168"/>
    </row>
    <row r="185" spans="1:9" ht="15.75" hidden="1">
      <c r="A185" s="53">
        <v>105</v>
      </c>
      <c r="B185" s="415"/>
      <c r="C185" s="882" t="s">
        <v>290</v>
      </c>
      <c r="D185" s="883"/>
      <c r="E185" s="883"/>
      <c r="F185" s="884" t="str">
        <f>+F177</f>
        <v>Attachment 8</v>
      </c>
      <c r="G185" s="721"/>
      <c r="H185" s="802">
        <v>0</v>
      </c>
      <c r="I185" s="168"/>
    </row>
    <row r="186" spans="1:9" ht="15.75">
      <c r="A186" s="53">
        <v>105</v>
      </c>
      <c r="B186" s="53"/>
      <c r="C186" s="636" t="s">
        <v>288</v>
      </c>
      <c r="D186" s="636"/>
      <c r="E186" s="885" t="s">
        <v>369</v>
      </c>
      <c r="F186" s="636" t="s">
        <v>81</v>
      </c>
      <c r="G186" s="851"/>
      <c r="H186" s="855">
        <v>0</v>
      </c>
      <c r="I186" s="168"/>
    </row>
    <row r="187" spans="1:9" ht="15.75">
      <c r="A187" s="53">
        <v>106</v>
      </c>
      <c r="B187" s="53"/>
      <c r="C187" s="101" t="s">
        <v>147</v>
      </c>
      <c r="D187" s="635"/>
      <c r="E187" s="163"/>
      <c r="F187" s="635" t="s">
        <v>726</v>
      </c>
      <c r="G187" s="96"/>
      <c r="H187" s="721">
        <f>+H183+H184+H186+H185</f>
        <v>2848100149</v>
      </c>
      <c r="I187" s="168"/>
    </row>
    <row r="188" spans="1:9">
      <c r="A188" s="53"/>
      <c r="B188" s="8"/>
      <c r="C188" s="847"/>
      <c r="E188" s="505"/>
      <c r="F188" s="721"/>
      <c r="G188" s="9"/>
      <c r="H188" s="721"/>
      <c r="I188" s="27"/>
    </row>
    <row r="189" spans="1:9" ht="15.75">
      <c r="A189" s="53"/>
      <c r="B189" s="5" t="s">
        <v>291</v>
      </c>
      <c r="E189" s="505"/>
      <c r="F189" s="721"/>
      <c r="G189" s="9"/>
      <c r="H189" s="721"/>
      <c r="I189" s="27"/>
    </row>
    <row r="190" spans="1:9" ht="15.75">
      <c r="A190" s="53">
        <v>107</v>
      </c>
      <c r="B190" s="8"/>
      <c r="C190" s="847" t="s">
        <v>166</v>
      </c>
      <c r="E190" s="8"/>
      <c r="F190" s="852" t="s">
        <v>76</v>
      </c>
      <c r="G190" s="9"/>
      <c r="H190" s="802">
        <f>276685985+2300000000</f>
        <v>2576685985</v>
      </c>
      <c r="I190" s="168"/>
    </row>
    <row r="191" spans="1:9" ht="15.75">
      <c r="A191" s="53">
        <v>108</v>
      </c>
      <c r="B191" s="8"/>
      <c r="C191" s="847" t="s">
        <v>452</v>
      </c>
      <c r="E191" s="505" t="str">
        <f>+E186</f>
        <v>enter negative</v>
      </c>
      <c r="F191" s="852" t="s">
        <v>77</v>
      </c>
      <c r="G191" s="9"/>
      <c r="H191" s="802">
        <v>-6949098</v>
      </c>
      <c r="I191" s="168"/>
    </row>
    <row r="192" spans="1:9" ht="15.75">
      <c r="A192" s="53">
        <v>109</v>
      </c>
      <c r="B192" s="8"/>
      <c r="C192" s="847" t="s">
        <v>453</v>
      </c>
      <c r="E192" s="8" t="s">
        <v>454</v>
      </c>
      <c r="F192" s="648" t="s">
        <v>78</v>
      </c>
      <c r="G192" s="9"/>
      <c r="H192" s="802">
        <v>0</v>
      </c>
      <c r="I192" s="168"/>
    </row>
    <row r="193" spans="1:9" ht="15.75">
      <c r="A193" s="53">
        <v>110</v>
      </c>
      <c r="B193" s="53"/>
      <c r="C193" s="852" t="s">
        <v>91</v>
      </c>
      <c r="D193" s="26"/>
      <c r="E193" s="850" t="str">
        <f>+E191</f>
        <v>enter negative</v>
      </c>
      <c r="F193" s="648" t="s">
        <v>55</v>
      </c>
      <c r="G193" s="26"/>
      <c r="H193" s="802">
        <f>-'1 - ADIT'!E19</f>
        <v>2231529</v>
      </c>
      <c r="I193" s="168"/>
    </row>
    <row r="194" spans="1:9" ht="15.75">
      <c r="A194" s="53">
        <v>111</v>
      </c>
      <c r="B194" s="53"/>
      <c r="C194" s="27" t="s">
        <v>503</v>
      </c>
      <c r="D194" s="537" t="str">
        <f>"(Note "&amp;B$321&amp;")"</f>
        <v>(Note P)</v>
      </c>
      <c r="E194" s="850" t="s">
        <v>369</v>
      </c>
      <c r="F194" s="636" t="str">
        <f>+F177</f>
        <v>Attachment 8</v>
      </c>
      <c r="G194" s="9"/>
      <c r="H194" s="802">
        <f>-'8 - Securitization'!E18</f>
        <v>-18954010</v>
      </c>
      <c r="I194" s="168"/>
    </row>
    <row r="195" spans="1:9" ht="15.75">
      <c r="A195" s="53">
        <v>112</v>
      </c>
      <c r="B195" s="53"/>
      <c r="C195" s="886" t="s">
        <v>154</v>
      </c>
      <c r="D195" s="34"/>
      <c r="E195" s="142"/>
      <c r="F195" s="635" t="s">
        <v>727</v>
      </c>
      <c r="G195" s="30"/>
      <c r="H195" s="803">
        <f>SUM(H190:H194)</f>
        <v>2553014406</v>
      </c>
      <c r="I195" s="168"/>
    </row>
    <row r="196" spans="1:9" ht="15.75">
      <c r="A196" s="53">
        <v>113</v>
      </c>
      <c r="B196" s="8"/>
      <c r="C196" s="847" t="s">
        <v>181</v>
      </c>
      <c r="E196" s="8"/>
      <c r="F196" s="852" t="s">
        <v>82</v>
      </c>
      <c r="G196" s="9"/>
      <c r="H196" s="802">
        <v>0</v>
      </c>
      <c r="I196" s="168"/>
    </row>
    <row r="197" spans="1:9" ht="15.75">
      <c r="A197" s="53">
        <v>114</v>
      </c>
      <c r="B197" s="8"/>
      <c r="C197" s="847" t="s">
        <v>147</v>
      </c>
      <c r="F197" s="636" t="s">
        <v>728</v>
      </c>
      <c r="G197" s="9"/>
      <c r="H197" s="632">
        <f>H187</f>
        <v>2848100149</v>
      </c>
      <c r="I197" s="168"/>
    </row>
    <row r="198" spans="1:9" ht="15.75">
      <c r="A198" s="53">
        <v>115</v>
      </c>
      <c r="B198" s="8"/>
      <c r="C198" s="14" t="s">
        <v>153</v>
      </c>
      <c r="D198" s="34"/>
      <c r="E198" s="136"/>
      <c r="F198" s="635" t="s">
        <v>729</v>
      </c>
      <c r="G198" s="845"/>
      <c r="H198" s="845">
        <f>H197+H196+H195</f>
        <v>5401114555</v>
      </c>
      <c r="I198" s="168"/>
    </row>
    <row r="199" spans="1:9">
      <c r="A199" s="8"/>
      <c r="B199" s="8"/>
      <c r="C199" s="847"/>
      <c r="G199" s="721"/>
      <c r="H199" s="505"/>
      <c r="I199" s="27"/>
    </row>
    <row r="200" spans="1:9" ht="15.75">
      <c r="A200" s="53">
        <v>116</v>
      </c>
      <c r="B200" s="8"/>
      <c r="C200" s="55" t="s">
        <v>392</v>
      </c>
      <c r="D200" s="648" t="s">
        <v>154</v>
      </c>
      <c r="F200" s="635" t="s">
        <v>730</v>
      </c>
      <c r="G200" s="721"/>
      <c r="H200" s="887">
        <f>IF(H198&gt;0,H195/H198,0)</f>
        <v>0.47268288424591653</v>
      </c>
      <c r="I200" s="168"/>
    </row>
    <row r="201" spans="1:9" ht="15.75">
      <c r="A201" s="53">
        <v>117</v>
      </c>
      <c r="B201" s="8"/>
      <c r="C201" s="55" t="s">
        <v>399</v>
      </c>
      <c r="D201" s="847" t="s">
        <v>181</v>
      </c>
      <c r="F201" s="635" t="s">
        <v>731</v>
      </c>
      <c r="G201" s="721"/>
      <c r="H201" s="887">
        <f>IF(H198&gt;0,H196/H198,0)</f>
        <v>0</v>
      </c>
      <c r="I201" s="168"/>
    </row>
    <row r="202" spans="1:9" ht="15.75">
      <c r="A202" s="53">
        <v>118</v>
      </c>
      <c r="B202" s="8"/>
      <c r="C202" s="55" t="s">
        <v>393</v>
      </c>
      <c r="D202" s="847" t="s">
        <v>147</v>
      </c>
      <c r="F202" s="635" t="s">
        <v>732</v>
      </c>
      <c r="G202" s="721"/>
      <c r="H202" s="887">
        <f>IF(H198&gt;0,H197/H198,0)</f>
        <v>0.52731711575408347</v>
      </c>
      <c r="I202" s="168"/>
    </row>
    <row r="203" spans="1:9">
      <c r="A203" s="53"/>
      <c r="B203" s="8"/>
      <c r="C203" s="888"/>
      <c r="F203" s="638"/>
      <c r="G203" s="721"/>
      <c r="H203" s="505"/>
      <c r="I203" s="27"/>
    </row>
    <row r="204" spans="1:9" ht="15.75">
      <c r="A204" s="53">
        <v>119</v>
      </c>
      <c r="B204" s="8"/>
      <c r="C204" s="888" t="s">
        <v>394</v>
      </c>
      <c r="D204" s="648" t="s">
        <v>154</v>
      </c>
      <c r="F204" s="635" t="s">
        <v>733</v>
      </c>
      <c r="G204" s="721"/>
      <c r="H204" s="889">
        <f>IF(H195&gt;0,H178/H195,0)</f>
        <v>4.0910374714117459E-2</v>
      </c>
      <c r="I204" s="168"/>
    </row>
    <row r="205" spans="1:9" ht="15.75">
      <c r="A205" s="53">
        <v>120</v>
      </c>
      <c r="B205" s="8"/>
      <c r="C205" s="888" t="s">
        <v>400</v>
      </c>
      <c r="D205" s="847" t="s">
        <v>181</v>
      </c>
      <c r="F205" s="635" t="s">
        <v>734</v>
      </c>
      <c r="G205" s="721"/>
      <c r="H205" s="889">
        <f>IF(H196&gt;0,H180/H196,0)</f>
        <v>0</v>
      </c>
      <c r="I205" s="168"/>
    </row>
    <row r="206" spans="1:9" ht="15.75">
      <c r="A206" s="53">
        <v>121</v>
      </c>
      <c r="B206" s="8"/>
      <c r="C206" s="888" t="s">
        <v>395</v>
      </c>
      <c r="D206" s="847" t="s">
        <v>147</v>
      </c>
      <c r="E206" s="151" t="str">
        <f>"(Note "&amp;B$309&amp;")"</f>
        <v>(Note J)</v>
      </c>
      <c r="F206" s="618" t="s">
        <v>370</v>
      </c>
      <c r="G206" s="721"/>
      <c r="H206" s="1039">
        <v>0.105</v>
      </c>
      <c r="I206" s="168"/>
    </row>
    <row r="207" spans="1:9">
      <c r="A207" s="53"/>
      <c r="B207" s="8"/>
      <c r="C207" s="888"/>
      <c r="F207" s="638"/>
      <c r="G207" s="721"/>
      <c r="H207" s="9"/>
      <c r="I207" s="27"/>
    </row>
    <row r="208" spans="1:9" ht="15.75">
      <c r="A208" s="53">
        <v>122</v>
      </c>
      <c r="B208" s="8"/>
      <c r="C208" s="55" t="s">
        <v>396</v>
      </c>
      <c r="D208" s="648" t="s">
        <v>160</v>
      </c>
      <c r="F208" s="635" t="s">
        <v>735</v>
      </c>
      <c r="G208" s="890"/>
      <c r="H208" s="889">
        <f>H204*H200</f>
        <v>1.9337633915450254E-2</v>
      </c>
      <c r="I208" s="168"/>
    </row>
    <row r="209" spans="1:11" ht="15.75">
      <c r="A209" s="53">
        <v>123</v>
      </c>
      <c r="B209" s="8"/>
      <c r="C209" s="55" t="s">
        <v>401</v>
      </c>
      <c r="D209" s="847" t="s">
        <v>181</v>
      </c>
      <c r="F209" s="635" t="s">
        <v>736</v>
      </c>
      <c r="G209" s="49"/>
      <c r="H209" s="889">
        <f>H205*H201</f>
        <v>0</v>
      </c>
      <c r="I209" s="168"/>
    </row>
    <row r="210" spans="1:11" ht="15.75">
      <c r="A210" s="53">
        <v>124</v>
      </c>
      <c r="B210" s="131"/>
      <c r="C210" s="71" t="s">
        <v>397</v>
      </c>
      <c r="D210" s="854" t="s">
        <v>147</v>
      </c>
      <c r="E210" s="143"/>
      <c r="F210" s="636" t="s">
        <v>737</v>
      </c>
      <c r="G210" s="891"/>
      <c r="H210" s="892">
        <f>H206*H202</f>
        <v>5.5368297154178764E-2</v>
      </c>
      <c r="I210" s="168"/>
    </row>
    <row r="211" spans="1:11" s="1" customFormat="1" ht="15.75">
      <c r="A211" s="53">
        <v>125</v>
      </c>
      <c r="B211" s="60" t="s">
        <v>155</v>
      </c>
      <c r="C211" s="60"/>
      <c r="D211" s="97"/>
      <c r="E211" s="144"/>
      <c r="F211" s="635" t="s">
        <v>738</v>
      </c>
      <c r="G211" s="62"/>
      <c r="H211" s="52">
        <f>SUM(H208:H210)</f>
        <v>7.4705931069629014E-2</v>
      </c>
      <c r="I211" s="168"/>
    </row>
    <row r="212" spans="1:11" s="1" customFormat="1" ht="15.75">
      <c r="A212" s="19"/>
      <c r="B212" s="3"/>
      <c r="C212" s="60"/>
      <c r="D212" s="97"/>
      <c r="E212" s="144"/>
      <c r="F212" s="101"/>
      <c r="G212" s="62"/>
      <c r="H212" s="52"/>
      <c r="I212" s="168"/>
    </row>
    <row r="213" spans="1:11" ht="16.5" thickBot="1">
      <c r="A213" s="53">
        <v>126</v>
      </c>
      <c r="B213" s="86" t="s">
        <v>296</v>
      </c>
      <c r="C213" s="85"/>
      <c r="D213" s="83"/>
      <c r="E213" s="145"/>
      <c r="F213" s="637" t="s">
        <v>739</v>
      </c>
      <c r="G213" s="87"/>
      <c r="H213" s="16">
        <f>+H108*H211</f>
        <v>66290342.97408694</v>
      </c>
      <c r="I213" s="168"/>
      <c r="J213" s="104"/>
    </row>
    <row r="214" spans="1:11" ht="15.75" thickTop="1">
      <c r="A214" s="8"/>
      <c r="B214" s="8"/>
      <c r="C214" s="847"/>
      <c r="F214" s="721"/>
      <c r="G214" s="721"/>
      <c r="H214" s="889"/>
      <c r="I214" s="63"/>
    </row>
    <row r="215" spans="1:11" s="843" customFormat="1" ht="15.75">
      <c r="A215" s="871" t="s">
        <v>575</v>
      </c>
      <c r="B215" s="872"/>
      <c r="C215" s="873"/>
      <c r="D215" s="874"/>
      <c r="E215" s="879"/>
      <c r="H215" s="842"/>
      <c r="I215" s="893"/>
    </row>
    <row r="216" spans="1:11" ht="15.75">
      <c r="A216" s="25"/>
      <c r="B216" s="8"/>
      <c r="C216" s="7"/>
      <c r="D216" s="26"/>
      <c r="E216" s="505"/>
      <c r="F216" s="9"/>
      <c r="G216" s="9"/>
      <c r="H216" s="13"/>
    </row>
    <row r="217" spans="1:11" ht="15.75">
      <c r="A217" s="8" t="s">
        <v>176</v>
      </c>
      <c r="B217" s="103" t="s">
        <v>297</v>
      </c>
      <c r="E217" s="505"/>
      <c r="F217" s="721"/>
      <c r="G217" s="894"/>
      <c r="H217" s="9"/>
      <c r="J217" s="546"/>
    </row>
    <row r="218" spans="1:11" ht="15.75">
      <c r="A218" s="53">
        <v>127</v>
      </c>
      <c r="B218" s="8"/>
      <c r="C218" s="9" t="s">
        <v>295</v>
      </c>
      <c r="F218" s="9"/>
      <c r="G218" s="10"/>
      <c r="H218" s="224">
        <v>0.35</v>
      </c>
      <c r="I218" s="806"/>
      <c r="J218" s="104"/>
      <c r="K218" s="104"/>
    </row>
    <row r="219" spans="1:11" ht="15.75">
      <c r="A219" s="53">
        <v>128</v>
      </c>
      <c r="B219" s="8"/>
      <c r="C219" s="10" t="s">
        <v>294</v>
      </c>
      <c r="D219" s="895"/>
      <c r="E219" s="151" t="str">
        <f>"(Note "&amp;B$303&amp;")"</f>
        <v>(Note I)</v>
      </c>
      <c r="F219" s="9"/>
      <c r="G219" s="10"/>
      <c r="H219" s="224">
        <v>8.2500000000000004E-2</v>
      </c>
      <c r="I219" s="806"/>
    </row>
    <row r="220" spans="1:11" ht="15.75">
      <c r="A220" s="53">
        <v>129</v>
      </c>
      <c r="B220" s="8"/>
      <c r="C220" s="10" t="s">
        <v>360</v>
      </c>
      <c r="D220" s="10" t="s">
        <v>361</v>
      </c>
      <c r="F220" s="9" t="s">
        <v>505</v>
      </c>
      <c r="G220" s="10"/>
      <c r="H220" s="224">
        <v>0</v>
      </c>
      <c r="I220" s="806"/>
      <c r="J220" s="104"/>
    </row>
    <row r="221" spans="1:11" ht="15.75">
      <c r="A221" s="53">
        <v>130</v>
      </c>
      <c r="B221" s="8"/>
      <c r="C221" s="10" t="s">
        <v>372</v>
      </c>
      <c r="D221" s="896" t="s">
        <v>390</v>
      </c>
      <c r="F221" s="9"/>
      <c r="G221" s="10"/>
      <c r="H221" s="37">
        <f>IF(H218&gt;0,1-(((1-H219)*(1-H218))/(1-H219*H218*H220)),0)</f>
        <v>0.40362500000000001</v>
      </c>
      <c r="I221" s="806"/>
    </row>
    <row r="222" spans="1:11" ht="15.75">
      <c r="A222" s="53">
        <v>131</v>
      </c>
      <c r="B222" s="8"/>
      <c r="C222" s="10" t="s">
        <v>359</v>
      </c>
      <c r="D222" s="895"/>
      <c r="F222" s="9"/>
      <c r="G222" s="10"/>
      <c r="H222" s="225">
        <f>+H221/(1-H221)</f>
        <v>0.67679731712429259</v>
      </c>
      <c r="I222" s="806"/>
      <c r="J222" s="104"/>
    </row>
    <row r="223" spans="1:11">
      <c r="A223" s="53"/>
      <c r="B223" s="8"/>
      <c r="E223" s="858"/>
      <c r="F223" s="896"/>
      <c r="G223" s="894"/>
      <c r="H223" s="37"/>
      <c r="I223" s="27"/>
    </row>
    <row r="224" spans="1:11" ht="15.75">
      <c r="A224" s="53"/>
      <c r="B224" s="103" t="s">
        <v>292</v>
      </c>
      <c r="C224" s="847"/>
      <c r="E224" s="151" t="str">
        <f>"(Note "&amp;B$303&amp;")"</f>
        <v>(Note I)</v>
      </c>
      <c r="F224" s="721"/>
      <c r="G224" s="894"/>
      <c r="H224" s="897"/>
      <c r="I224" s="27"/>
    </row>
    <row r="225" spans="1:11" ht="15.75">
      <c r="A225" s="53">
        <v>132</v>
      </c>
      <c r="B225" s="8"/>
      <c r="C225" s="852" t="s">
        <v>348</v>
      </c>
      <c r="E225" s="850" t="s">
        <v>369</v>
      </c>
      <c r="F225" s="25" t="s">
        <v>86</v>
      </c>
      <c r="G225" s="894"/>
      <c r="H225" s="802">
        <v>-258056</v>
      </c>
      <c r="I225" s="806"/>
    </row>
    <row r="226" spans="1:11" ht="15.75">
      <c r="A226" s="53">
        <v>133</v>
      </c>
      <c r="B226" s="8"/>
      <c r="C226" s="847" t="s">
        <v>358</v>
      </c>
      <c r="E226" s="8"/>
      <c r="F226" s="635" t="s">
        <v>740</v>
      </c>
      <c r="G226" s="894"/>
      <c r="H226" s="898">
        <f>+H222</f>
        <v>0.67679731712429259</v>
      </c>
      <c r="I226" s="806"/>
    </row>
    <row r="227" spans="1:11" s="58" customFormat="1" ht="15.75">
      <c r="A227" s="53">
        <v>134</v>
      </c>
      <c r="B227" s="54"/>
      <c r="C227" s="69" t="s">
        <v>281</v>
      </c>
      <c r="D227" s="70"/>
      <c r="E227" s="131"/>
      <c r="F227" s="851" t="str">
        <f>"(Line "&amp;A$35&amp;")"</f>
        <v>(Line 18)</v>
      </c>
      <c r="G227" s="57"/>
      <c r="H227" s="98">
        <f>+H35</f>
        <v>0.23198168156889939</v>
      </c>
      <c r="I227" s="806"/>
    </row>
    <row r="228" spans="1:11" ht="15.75">
      <c r="A228" s="53">
        <v>135</v>
      </c>
      <c r="B228" s="8"/>
      <c r="C228" s="809" t="s">
        <v>293</v>
      </c>
      <c r="D228" s="30"/>
      <c r="E228" s="151"/>
      <c r="F228" s="635" t="s">
        <v>741</v>
      </c>
      <c r="G228" s="59"/>
      <c r="H228" s="548">
        <f>+H225*(1+H226)*H227</f>
        <v>-100380.23864002332</v>
      </c>
      <c r="I228" s="806"/>
    </row>
    <row r="229" spans="1:11" ht="15.75">
      <c r="A229" s="8"/>
      <c r="B229" s="8"/>
      <c r="C229" s="129"/>
      <c r="D229" s="56"/>
      <c r="E229" s="176"/>
      <c r="F229" s="173"/>
      <c r="G229" s="57"/>
      <c r="H229" s="174"/>
      <c r="I229" s="27"/>
    </row>
    <row r="230" spans="1:11" ht="15.75">
      <c r="A230" s="8"/>
      <c r="B230" s="8"/>
      <c r="C230" s="129"/>
      <c r="D230" s="56"/>
      <c r="E230" s="176"/>
      <c r="F230" s="173"/>
      <c r="G230" s="57"/>
      <c r="H230" s="175"/>
      <c r="I230" s="27"/>
    </row>
    <row r="231" spans="1:11" ht="15.75">
      <c r="A231" s="8"/>
      <c r="B231" s="8"/>
      <c r="E231" s="858"/>
      <c r="F231" s="896"/>
      <c r="G231" s="894"/>
      <c r="H231" s="172"/>
      <c r="I231" s="27"/>
    </row>
    <row r="232" spans="1:11" ht="15.75">
      <c r="A232" s="53">
        <v>136</v>
      </c>
      <c r="B232" s="1" t="s">
        <v>327</v>
      </c>
      <c r="C232" s="21"/>
      <c r="D232" s="9" t="s">
        <v>332</v>
      </c>
      <c r="E232" s="505"/>
      <c r="F232" s="635" t="s">
        <v>742</v>
      </c>
      <c r="G232" s="9"/>
      <c r="H232" s="219">
        <f>+H222*(1-H208/H211)*H213</f>
        <v>33251786.14265836</v>
      </c>
      <c r="I232" s="806"/>
    </row>
    <row r="233" spans="1:11" ht="15.75">
      <c r="A233" s="53"/>
      <c r="B233" s="8"/>
      <c r="C233" s="55"/>
      <c r="D233" s="56"/>
      <c r="E233" s="146"/>
      <c r="F233" s="641"/>
      <c r="G233" s="57"/>
      <c r="H233" s="41"/>
      <c r="I233" s="807"/>
    </row>
    <row r="234" spans="1:11" ht="16.5" thickBot="1">
      <c r="A234" s="53">
        <v>137</v>
      </c>
      <c r="B234" s="86" t="s">
        <v>143</v>
      </c>
      <c r="C234" s="86"/>
      <c r="D234" s="83"/>
      <c r="E234" s="138"/>
      <c r="F234" s="637" t="s">
        <v>743</v>
      </c>
      <c r="G234" s="102"/>
      <c r="H234" s="130">
        <f>+H232+H228</f>
        <v>33151405.904018339</v>
      </c>
      <c r="I234" s="806"/>
    </row>
    <row r="235" spans="1:11" ht="15.75" thickTop="1">
      <c r="A235" s="53"/>
      <c r="B235" s="8"/>
      <c r="C235" s="896"/>
      <c r="F235" s="640"/>
      <c r="G235" s="899"/>
      <c r="H235" s="900"/>
    </row>
    <row r="236" spans="1:11" s="843" customFormat="1" ht="15.75">
      <c r="A236" s="901" t="s">
        <v>161</v>
      </c>
      <c r="B236" s="872"/>
      <c r="C236" s="873"/>
      <c r="D236" s="874"/>
      <c r="E236" s="875"/>
      <c r="F236" s="902"/>
      <c r="H236" s="842"/>
    </row>
    <row r="237" spans="1:11">
      <c r="A237" s="68"/>
      <c r="B237" s="21"/>
      <c r="C237" s="21"/>
      <c r="D237" s="21"/>
      <c r="F237" s="27"/>
    </row>
    <row r="238" spans="1:11" ht="15.75">
      <c r="A238" s="68"/>
      <c r="B238" s="1" t="s">
        <v>144</v>
      </c>
      <c r="C238" s="58"/>
      <c r="D238" s="58"/>
      <c r="F238" s="27"/>
    </row>
    <row r="239" spans="1:11" ht="15.75">
      <c r="A239" s="68">
        <v>138</v>
      </c>
      <c r="B239" s="21"/>
      <c r="C239" s="58" t="s">
        <v>145</v>
      </c>
      <c r="D239" s="58"/>
      <c r="F239" s="635" t="str">
        <f>"(Line "&amp;A69&amp;")"</f>
        <v>(Line 39)</v>
      </c>
      <c r="H239" s="63">
        <f>+H69</f>
        <v>1130094914.4949064</v>
      </c>
      <c r="I239" s="806"/>
      <c r="J239" s="63"/>
      <c r="K239" s="63"/>
    </row>
    <row r="240" spans="1:11" ht="15.75">
      <c r="A240" s="53">
        <v>139</v>
      </c>
      <c r="B240" s="21"/>
      <c r="C240" s="58" t="s">
        <v>322</v>
      </c>
      <c r="D240" s="58"/>
      <c r="F240" s="636" t="s">
        <v>744</v>
      </c>
      <c r="H240" s="63">
        <f>+H106</f>
        <v>-242744445.4631826</v>
      </c>
      <c r="I240" s="806"/>
      <c r="J240" s="63"/>
      <c r="K240" s="63"/>
    </row>
    <row r="241" spans="1:11" ht="15.75">
      <c r="A241" s="53">
        <v>140</v>
      </c>
      <c r="B241" s="8"/>
      <c r="C241" s="12" t="s">
        <v>326</v>
      </c>
      <c r="D241" s="108"/>
      <c r="E241" s="147"/>
      <c r="F241" s="635" t="s">
        <v>745</v>
      </c>
      <c r="G241" s="109"/>
      <c r="H241" s="110">
        <f>+H108</f>
        <v>887350469.03172386</v>
      </c>
      <c r="I241" s="806"/>
      <c r="J241" s="63"/>
      <c r="K241" s="63"/>
    </row>
    <row r="242" spans="1:11">
      <c r="A242" s="53"/>
      <c r="B242" s="8"/>
      <c r="C242" s="648"/>
      <c r="D242" s="56"/>
      <c r="E242" s="505"/>
      <c r="F242" s="26"/>
      <c r="G242" s="9"/>
      <c r="H242" s="63"/>
      <c r="I242" s="27"/>
      <c r="J242" s="63"/>
      <c r="K242" s="63"/>
    </row>
    <row r="243" spans="1:11" ht="15.75">
      <c r="A243" s="53">
        <v>141</v>
      </c>
      <c r="C243" s="648" t="s">
        <v>374</v>
      </c>
      <c r="D243" s="38"/>
      <c r="F243" s="635" t="s">
        <v>707</v>
      </c>
      <c r="H243" s="63">
        <f>+H144</f>
        <v>76787906.822324231</v>
      </c>
      <c r="I243" s="806"/>
      <c r="J243" s="63"/>
      <c r="K243" s="63"/>
    </row>
    <row r="244" spans="1:11" ht="15.75">
      <c r="A244" s="53">
        <v>142</v>
      </c>
      <c r="C244" s="55" t="s">
        <v>301</v>
      </c>
      <c r="D244" s="38"/>
      <c r="F244" s="635" t="s">
        <v>746</v>
      </c>
      <c r="H244" s="63">
        <f>+H165</f>
        <v>42853430.097109266</v>
      </c>
      <c r="I244" s="806"/>
      <c r="J244" s="63"/>
      <c r="K244" s="63"/>
    </row>
    <row r="245" spans="1:11" ht="15.75">
      <c r="A245" s="53">
        <v>143</v>
      </c>
      <c r="B245" s="8"/>
      <c r="C245" s="648" t="s">
        <v>146</v>
      </c>
      <c r="D245" s="56"/>
      <c r="E245" s="505"/>
      <c r="F245" s="635" t="s">
        <v>747</v>
      </c>
      <c r="G245" s="9"/>
      <c r="H245" s="63">
        <f>+H171</f>
        <v>21144426.088327516</v>
      </c>
      <c r="I245" s="806"/>
      <c r="J245" s="63"/>
      <c r="K245" s="63"/>
    </row>
    <row r="246" spans="1:11" ht="15.75">
      <c r="A246" s="53">
        <v>144</v>
      </c>
      <c r="B246" s="8"/>
      <c r="C246" s="903" t="s">
        <v>353</v>
      </c>
      <c r="D246" s="56"/>
      <c r="E246" s="505"/>
      <c r="F246" s="635" t="s">
        <v>748</v>
      </c>
      <c r="G246" s="9"/>
      <c r="H246" s="63">
        <f>+H213</f>
        <v>66290342.97408694</v>
      </c>
      <c r="I246" s="806"/>
      <c r="J246" s="63"/>
      <c r="K246" s="63"/>
    </row>
    <row r="247" spans="1:11" ht="15.75">
      <c r="A247" s="53">
        <v>145</v>
      </c>
      <c r="B247" s="8"/>
      <c r="C247" s="903" t="s">
        <v>354</v>
      </c>
      <c r="D247" s="56"/>
      <c r="E247" s="505"/>
      <c r="F247" s="635" t="s">
        <v>749</v>
      </c>
      <c r="G247" s="9"/>
      <c r="H247" s="63">
        <f>+H234</f>
        <v>33151405.904018339</v>
      </c>
      <c r="I247" s="806"/>
      <c r="J247" s="63"/>
      <c r="K247" s="63"/>
    </row>
    <row r="248" spans="1:11" ht="15.75" thickBot="1">
      <c r="A248" s="53"/>
      <c r="B248" s="8"/>
      <c r="C248" s="903"/>
      <c r="D248" s="56"/>
      <c r="E248" s="505"/>
      <c r="F248" s="26"/>
      <c r="G248" s="9"/>
      <c r="H248" s="63"/>
      <c r="I248" s="27"/>
    </row>
    <row r="249" spans="1:11" ht="18.75" thickBot="1">
      <c r="A249" s="639">
        <v>146</v>
      </c>
      <c r="B249" s="116"/>
      <c r="C249" s="904" t="s">
        <v>355</v>
      </c>
      <c r="D249" s="905"/>
      <c r="E249" s="906"/>
      <c r="F249" s="642" t="s">
        <v>750</v>
      </c>
      <c r="G249" s="117"/>
      <c r="H249" s="121">
        <f>SUM(H247,H246,H245,H244,H243)</f>
        <v>240227511.88586628</v>
      </c>
      <c r="I249" s="806"/>
    </row>
    <row r="250" spans="1:11" ht="18">
      <c r="A250" s="179"/>
      <c r="B250" s="165"/>
      <c r="C250" s="907"/>
      <c r="D250" s="908"/>
      <c r="E250" s="909"/>
      <c r="F250" s="101"/>
      <c r="G250" s="166"/>
      <c r="H250" s="910"/>
      <c r="I250" s="27"/>
    </row>
    <row r="251" spans="1:11" ht="18">
      <c r="A251" s="179"/>
      <c r="B251" s="129" t="s">
        <v>210</v>
      </c>
      <c r="C251" s="907"/>
      <c r="D251" s="908"/>
      <c r="E251" s="909"/>
      <c r="F251" s="101"/>
      <c r="G251" s="166"/>
      <c r="H251" s="910"/>
      <c r="I251" s="27"/>
    </row>
    <row r="252" spans="1:11" ht="18">
      <c r="A252" s="146">
        <v>147</v>
      </c>
      <c r="B252" s="146"/>
      <c r="C252" s="648" t="str">
        <f>+C40</f>
        <v>Transmission Plant In Service</v>
      </c>
      <c r="D252" s="908"/>
      <c r="E252" s="909"/>
      <c r="F252" s="635" t="s">
        <v>751</v>
      </c>
      <c r="G252" s="166"/>
      <c r="H252" s="911">
        <f>+H40</f>
        <v>1380029096.22</v>
      </c>
      <c r="I252" s="27"/>
    </row>
    <row r="253" spans="1:11" ht="18">
      <c r="A253" s="146">
        <v>148</v>
      </c>
      <c r="B253" s="146"/>
      <c r="C253" s="912" t="s">
        <v>211</v>
      </c>
      <c r="D253" s="913"/>
      <c r="E253" s="160" t="str">
        <f>"(Note "&amp;B$315&amp;")"</f>
        <v>(Note M)</v>
      </c>
      <c r="F253" s="636" t="s">
        <v>57</v>
      </c>
      <c r="G253" s="166"/>
      <c r="H253" s="914">
        <f>+'5 - Cost Support'!G116</f>
        <v>0</v>
      </c>
      <c r="I253" s="27"/>
    </row>
    <row r="254" spans="1:11" ht="18">
      <c r="A254" s="146">
        <v>149</v>
      </c>
      <c r="B254" s="146"/>
      <c r="C254" s="648" t="s">
        <v>212</v>
      </c>
      <c r="D254" s="908"/>
      <c r="E254" s="915"/>
      <c r="F254" s="635" t="s">
        <v>752</v>
      </c>
      <c r="G254" s="166"/>
      <c r="H254" s="911">
        <f>+H252-H253</f>
        <v>1380029096.22</v>
      </c>
      <c r="I254" s="27"/>
    </row>
    <row r="255" spans="1:11" ht="18">
      <c r="A255" s="146">
        <v>150</v>
      </c>
      <c r="B255" s="146"/>
      <c r="C255" s="648" t="s">
        <v>213</v>
      </c>
      <c r="D255" s="908"/>
      <c r="E255" s="909"/>
      <c r="F255" s="635" t="s">
        <v>753</v>
      </c>
      <c r="G255" s="166"/>
      <c r="H255" s="916">
        <f>+H254/H252</f>
        <v>1</v>
      </c>
      <c r="I255" s="27"/>
    </row>
    <row r="256" spans="1:11" ht="18">
      <c r="A256" s="146">
        <v>151</v>
      </c>
      <c r="B256" s="146"/>
      <c r="C256" s="912" t="s">
        <v>355</v>
      </c>
      <c r="D256" s="913"/>
      <c r="E256" s="917"/>
      <c r="F256" s="636" t="s">
        <v>754</v>
      </c>
      <c r="G256" s="166"/>
      <c r="H256" s="918">
        <f>+H249</f>
        <v>240227511.88586628</v>
      </c>
      <c r="I256" s="27"/>
    </row>
    <row r="257" spans="1:9" ht="18">
      <c r="A257" s="146">
        <v>152</v>
      </c>
      <c r="B257" s="146"/>
      <c r="C257" s="20" t="s">
        <v>214</v>
      </c>
      <c r="D257" s="908"/>
      <c r="E257" s="909"/>
      <c r="F257" s="635" t="s">
        <v>755</v>
      </c>
      <c r="G257" s="166"/>
      <c r="H257" s="171">
        <f>+H256*H255</f>
        <v>240227511.88586628</v>
      </c>
      <c r="I257" s="807"/>
    </row>
    <row r="258" spans="1:9" ht="15.75">
      <c r="A258" s="919"/>
      <c r="B258" s="8"/>
      <c r="C258" s="648"/>
      <c r="D258" s="56"/>
      <c r="E258" s="505"/>
      <c r="F258" s="26"/>
      <c r="G258" s="9"/>
      <c r="H258" s="13"/>
      <c r="I258" s="27"/>
    </row>
    <row r="259" spans="1:9" ht="15.75">
      <c r="A259" s="919"/>
      <c r="B259" s="79" t="s">
        <v>512</v>
      </c>
      <c r="C259" s="648"/>
      <c r="D259" s="56"/>
      <c r="E259" s="505"/>
      <c r="F259" s="26"/>
      <c r="G259" s="9"/>
      <c r="H259" s="13"/>
      <c r="I259" s="27"/>
    </row>
    <row r="260" spans="1:9" ht="15.75">
      <c r="A260" s="53">
        <v>153</v>
      </c>
      <c r="B260" s="21"/>
      <c r="C260" s="79" t="s">
        <v>149</v>
      </c>
      <c r="D260" s="56"/>
      <c r="E260" s="505"/>
      <c r="F260" s="26" t="s">
        <v>58</v>
      </c>
      <c r="G260" s="9"/>
      <c r="H260" s="920">
        <f>+'3 - Revenue Credits'!D23</f>
        <v>31921183.807748497</v>
      </c>
      <c r="I260" s="808"/>
    </row>
    <row r="261" spans="1:9" ht="15.75">
      <c r="A261" s="53">
        <v>154</v>
      </c>
      <c r="B261" s="21"/>
      <c r="C261" s="79" t="s">
        <v>510</v>
      </c>
      <c r="D261" s="56"/>
      <c r="E261" s="151" t="str">
        <f>"(Note "&amp;B$316&amp;")"</f>
        <v>(Note N)</v>
      </c>
      <c r="F261" s="26" t="s">
        <v>511</v>
      </c>
      <c r="G261" s="9"/>
      <c r="H261" s="920">
        <f>+'5 - Cost Support'!G208</f>
        <v>0</v>
      </c>
    </row>
    <row r="262" spans="1:9" ht="16.5" thickBot="1">
      <c r="A262" s="53"/>
      <c r="B262" s="8"/>
      <c r="C262" s="82"/>
      <c r="D262" s="82"/>
      <c r="F262" s="26"/>
      <c r="G262" s="9"/>
      <c r="H262" s="13"/>
    </row>
    <row r="263" spans="1:9" s="1" customFormat="1" ht="18.75" thickBot="1">
      <c r="A263" s="639">
        <v>155</v>
      </c>
      <c r="B263" s="125"/>
      <c r="C263" s="118" t="s">
        <v>373</v>
      </c>
      <c r="D263" s="119"/>
      <c r="E263" s="148"/>
      <c r="F263" s="642" t="s">
        <v>756</v>
      </c>
      <c r="G263" s="120"/>
      <c r="H263" s="121">
        <f>+H257-H260+H261</f>
        <v>208306328.07811779</v>
      </c>
    </row>
    <row r="264" spans="1:9" ht="15.75">
      <c r="A264" s="919"/>
      <c r="B264" s="8"/>
      <c r="C264" s="82"/>
      <c r="D264" s="82"/>
      <c r="F264" s="26"/>
      <c r="G264" s="9"/>
      <c r="H264" s="804"/>
    </row>
    <row r="265" spans="1:9" ht="15.75">
      <c r="A265" s="53"/>
      <c r="B265" s="170" t="s">
        <v>25</v>
      </c>
      <c r="C265" s="21"/>
      <c r="D265" s="82"/>
      <c r="E265" s="151"/>
      <c r="F265" s="26"/>
      <c r="G265" s="9"/>
      <c r="H265" s="13"/>
    </row>
    <row r="266" spans="1:9" ht="15.75">
      <c r="A266" s="53">
        <v>156</v>
      </c>
      <c r="B266" s="8"/>
      <c r="C266" s="82" t="str">
        <f>+C263</f>
        <v>Net Revenue Requirement</v>
      </c>
      <c r="D266" s="82"/>
      <c r="F266" s="26" t="s">
        <v>757</v>
      </c>
      <c r="G266" s="9"/>
      <c r="H266" s="190">
        <f>+H263</f>
        <v>208306328.07811779</v>
      </c>
    </row>
    <row r="267" spans="1:9" ht="15.75">
      <c r="A267" s="53">
        <v>157</v>
      </c>
      <c r="B267" s="53"/>
      <c r="C267" s="82" t="s">
        <v>779</v>
      </c>
      <c r="D267" s="82"/>
      <c r="E267" s="68"/>
      <c r="F267" s="26" t="s">
        <v>780</v>
      </c>
      <c r="G267" s="26"/>
      <c r="H267" s="219">
        <f>+H40-H57+H83</f>
        <v>986468240.26000011</v>
      </c>
    </row>
    <row r="268" spans="1:9" ht="15.75">
      <c r="A268" s="53">
        <v>158</v>
      </c>
      <c r="B268" s="8"/>
      <c r="C268" s="82" t="s">
        <v>20</v>
      </c>
      <c r="D268" s="82"/>
      <c r="F268" s="26" t="s">
        <v>758</v>
      </c>
      <c r="G268" s="9"/>
      <c r="H268" s="13">
        <f>+H266/H267</f>
        <v>0.21116374514319405</v>
      </c>
    </row>
    <row r="269" spans="1:9" ht="15.75">
      <c r="A269" s="53">
        <v>159</v>
      </c>
      <c r="B269" s="8"/>
      <c r="C269" s="82" t="s">
        <v>21</v>
      </c>
      <c r="D269" s="82"/>
      <c r="F269" s="26" t="s">
        <v>759</v>
      </c>
      <c r="G269" s="9"/>
      <c r="H269" s="13">
        <f>(H266-H149)/H267</f>
        <v>0.17830653282031467</v>
      </c>
    </row>
    <row r="270" spans="1:9" ht="15.75">
      <c r="A270" s="53">
        <v>160</v>
      </c>
      <c r="B270" s="53"/>
      <c r="C270" s="82" t="s">
        <v>22</v>
      </c>
      <c r="D270" s="82"/>
      <c r="E270" s="68"/>
      <c r="F270" s="26" t="s">
        <v>760</v>
      </c>
      <c r="G270" s="9"/>
      <c r="H270" s="13">
        <f>(H266-H149-H213-H234)/H267</f>
        <v>7.750070368191711E-2</v>
      </c>
    </row>
    <row r="271" spans="1:9" ht="15.75">
      <c r="A271" s="53"/>
      <c r="B271" s="8"/>
      <c r="C271" s="82"/>
      <c r="D271" s="82"/>
      <c r="F271" s="26"/>
      <c r="G271" s="9"/>
      <c r="H271" s="13"/>
    </row>
    <row r="272" spans="1:9" ht="15.75">
      <c r="A272" s="53"/>
      <c r="B272" s="8"/>
      <c r="C272" s="82"/>
      <c r="D272" s="82"/>
      <c r="F272" s="26"/>
      <c r="G272" s="9"/>
      <c r="H272" s="13"/>
    </row>
    <row r="273" spans="1:253" ht="15.75">
      <c r="A273" s="53"/>
      <c r="B273" s="170" t="s">
        <v>26</v>
      </c>
      <c r="C273" s="82"/>
      <c r="D273" s="82"/>
      <c r="E273" s="151"/>
      <c r="F273" s="26"/>
      <c r="G273" s="9"/>
      <c r="H273" s="13"/>
    </row>
    <row r="274" spans="1:253" ht="15.75">
      <c r="A274" s="53">
        <v>161</v>
      </c>
      <c r="B274" s="8"/>
      <c r="C274" s="82" t="s">
        <v>576</v>
      </c>
      <c r="D274" s="82"/>
      <c r="F274" s="26" t="s">
        <v>761</v>
      </c>
      <c r="G274" s="9"/>
      <c r="H274" s="190">
        <f>+H263-H246-H247</f>
        <v>108864579.20001251</v>
      </c>
    </row>
    <row r="275" spans="1:253" ht="15.75">
      <c r="A275" s="53">
        <v>162</v>
      </c>
      <c r="B275" s="8"/>
      <c r="C275" s="82" t="s">
        <v>30</v>
      </c>
      <c r="D275" s="82"/>
      <c r="F275" s="26" t="s">
        <v>59</v>
      </c>
      <c r="G275" s="9"/>
      <c r="H275" s="190">
        <f>+'4 - 100 Basis Pt ROE'!I9</f>
        <v>107287736.55352497</v>
      </c>
    </row>
    <row r="276" spans="1:253" ht="15.75">
      <c r="A276" s="53">
        <v>163</v>
      </c>
      <c r="B276" s="8"/>
      <c r="C276" s="82" t="s">
        <v>29</v>
      </c>
      <c r="D276" s="82"/>
      <c r="F276" s="26" t="s">
        <v>762</v>
      </c>
      <c r="G276" s="9"/>
      <c r="H276" s="190">
        <f>+H275+H274</f>
        <v>216152315.75353748</v>
      </c>
    </row>
    <row r="277" spans="1:253" ht="15.75">
      <c r="A277" s="53">
        <v>164</v>
      </c>
      <c r="B277" s="53"/>
      <c r="C277" s="82" t="str">
        <f>+C267</f>
        <v>Net Transmission Plant and Abandoned Plant</v>
      </c>
      <c r="D277" s="82"/>
      <c r="E277" s="68"/>
      <c r="F277" s="26" t="str">
        <f>+F267</f>
        <v>(Line 19 - 30 + 44a)</v>
      </c>
      <c r="G277" s="26"/>
      <c r="H277" s="219">
        <f>+H267</f>
        <v>986468240.26000011</v>
      </c>
    </row>
    <row r="278" spans="1:253" ht="15.75">
      <c r="A278" s="53">
        <v>165</v>
      </c>
      <c r="B278" s="8"/>
      <c r="C278" s="82" t="s">
        <v>28</v>
      </c>
      <c r="D278" s="82"/>
      <c r="F278" s="26" t="s">
        <v>763</v>
      </c>
      <c r="G278" s="9"/>
      <c r="H278" s="13">
        <f>+H276/H277</f>
        <v>0.21911735921327477</v>
      </c>
    </row>
    <row r="279" spans="1:253" ht="15.75">
      <c r="A279" s="53">
        <v>166</v>
      </c>
      <c r="B279" s="8"/>
      <c r="C279" s="82" t="s">
        <v>27</v>
      </c>
      <c r="D279" s="82"/>
      <c r="F279" s="26" t="s">
        <v>764</v>
      </c>
      <c r="G279" s="9"/>
      <c r="H279" s="13">
        <f>(H276-H149)/H277</f>
        <v>0.18626014689039538</v>
      </c>
    </row>
    <row r="280" spans="1:253" ht="15.75">
      <c r="A280" s="53"/>
      <c r="B280" s="8"/>
      <c r="C280" s="82"/>
      <c r="D280" s="82"/>
      <c r="F280" s="26"/>
      <c r="G280" s="9"/>
      <c r="H280" s="13"/>
    </row>
    <row r="281" spans="1:253" ht="15.75">
      <c r="A281" s="53">
        <v>167</v>
      </c>
      <c r="B281" s="8"/>
      <c r="C281" s="170" t="s">
        <v>373</v>
      </c>
      <c r="D281" s="82"/>
      <c r="E281" s="68"/>
      <c r="F281" s="26" t="s">
        <v>757</v>
      </c>
      <c r="G281" s="9"/>
      <c r="H281" s="190">
        <f>+H263</f>
        <v>208306328.07811779</v>
      </c>
      <c r="I281" s="546"/>
    </row>
    <row r="282" spans="1:253" ht="15.75">
      <c r="A282" s="53">
        <v>168</v>
      </c>
      <c r="B282" s="8"/>
      <c r="C282" s="82" t="s">
        <v>681</v>
      </c>
      <c r="D282" s="82"/>
      <c r="E282" s="505"/>
      <c r="F282" s="42" t="s">
        <v>54</v>
      </c>
      <c r="G282" s="9"/>
      <c r="H282" s="572">
        <f>+'5 - Cost Support'!I225</f>
        <v>7556265.0873971013</v>
      </c>
      <c r="I282" s="1030"/>
    </row>
    <row r="283" spans="1:253" ht="15.75">
      <c r="A283" s="53">
        <v>169</v>
      </c>
      <c r="B283" s="8"/>
      <c r="C283" s="82" t="s">
        <v>247</v>
      </c>
      <c r="D283" s="82"/>
      <c r="E283" s="151"/>
      <c r="F283" s="42" t="s">
        <v>248</v>
      </c>
      <c r="G283" s="9"/>
      <c r="H283" s="572">
        <f>+'7 - Cap Add WS'!DB60+'7 - Cap Add WS'!DB62-1074651</f>
        <v>989288.14882100001</v>
      </c>
      <c r="I283" s="27"/>
    </row>
    <row r="284" spans="1:253" s="27" customFormat="1" ht="15.75">
      <c r="A284" s="53">
        <v>170</v>
      </c>
      <c r="B284" s="53"/>
      <c r="C284" s="56" t="s">
        <v>92</v>
      </c>
      <c r="D284" s="601"/>
      <c r="E284" s="151"/>
      <c r="F284" s="56" t="s">
        <v>93</v>
      </c>
      <c r="G284" s="26"/>
      <c r="H284" s="572">
        <f>+'5 - Cost Support'!G219</f>
        <v>0</v>
      </c>
      <c r="IS284" s="27">
        <f>SUM(A284:IR284)</f>
        <v>170</v>
      </c>
    </row>
    <row r="285" spans="1:253" ht="15.75">
      <c r="A285" s="53">
        <v>171</v>
      </c>
      <c r="B285" s="8"/>
      <c r="C285" s="170" t="s">
        <v>517</v>
      </c>
      <c r="D285" s="82"/>
      <c r="E285" s="68"/>
      <c r="F285" s="26" t="s">
        <v>765</v>
      </c>
      <c r="G285" s="9"/>
      <c r="H285" s="190">
        <f>+H281+H282+H283+H284</f>
        <v>216851881.31433588</v>
      </c>
      <c r="I285" s="807"/>
    </row>
    <row r="286" spans="1:253" ht="15.75">
      <c r="A286" s="53"/>
      <c r="B286" s="8"/>
      <c r="C286" s="82"/>
      <c r="D286" s="82"/>
      <c r="F286" s="26"/>
      <c r="G286" s="9"/>
      <c r="H286" s="13"/>
      <c r="I286" s="27"/>
    </row>
    <row r="287" spans="1:253" ht="15.75">
      <c r="A287" s="53"/>
      <c r="B287" s="79" t="s">
        <v>516</v>
      </c>
      <c r="C287" s="82"/>
      <c r="D287" s="82"/>
      <c r="F287" s="26"/>
      <c r="G287" s="9"/>
      <c r="H287" s="13"/>
      <c r="I287" s="27"/>
    </row>
    <row r="288" spans="1:253" ht="15.75">
      <c r="A288" s="53">
        <v>172</v>
      </c>
      <c r="B288" s="8"/>
      <c r="C288" s="99" t="s">
        <v>303</v>
      </c>
      <c r="D288" s="99"/>
      <c r="E288" s="151" t="str">
        <f>"(Note "&amp;B$314&amp;")"</f>
        <v>(Note L)</v>
      </c>
      <c r="F288" s="170" t="s">
        <v>511</v>
      </c>
      <c r="G288" s="82"/>
      <c r="H288" s="194">
        <v>6601</v>
      </c>
      <c r="I288" s="808"/>
    </row>
    <row r="289" spans="1:16" ht="15.75">
      <c r="A289" s="53">
        <v>173</v>
      </c>
      <c r="B289" s="8"/>
      <c r="C289" s="99" t="s">
        <v>302</v>
      </c>
      <c r="D289" s="412"/>
      <c r="E289" s="151" t="s">
        <v>371</v>
      </c>
      <c r="F289" s="635" t="s">
        <v>766</v>
      </c>
      <c r="G289" s="111"/>
      <c r="H289" s="620">
        <f>+H285/H288</f>
        <v>32851.368173660943</v>
      </c>
      <c r="I289" s="27"/>
    </row>
    <row r="290" spans="1:16" ht="16.5" thickBot="1">
      <c r="A290" s="53"/>
      <c r="B290" s="8"/>
      <c r="C290" s="99"/>
      <c r="D290" s="99"/>
      <c r="E290" s="149"/>
      <c r="F290" s="466"/>
      <c r="G290" s="111"/>
      <c r="H290" s="100"/>
      <c r="I290" s="27"/>
    </row>
    <row r="291" spans="1:16" s="58" customFormat="1" ht="18.75" thickBot="1">
      <c r="A291" s="639">
        <v>174</v>
      </c>
      <c r="B291" s="128"/>
      <c r="C291" s="118" t="s">
        <v>391</v>
      </c>
      <c r="D291" s="128"/>
      <c r="E291" s="128"/>
      <c r="F291" s="643" t="s">
        <v>767</v>
      </c>
      <c r="G291" s="128"/>
      <c r="H291" s="169">
        <f>+H289</f>
        <v>32851.368173660943</v>
      </c>
      <c r="I291" s="82"/>
    </row>
    <row r="292" spans="1:16" s="58" customFormat="1" ht="15.75">
      <c r="A292" s="862"/>
      <c r="B292" s="54"/>
      <c r="C292" s="126"/>
      <c r="D292" s="126"/>
      <c r="E292" s="149"/>
      <c r="F292" s="111"/>
      <c r="G292" s="111"/>
      <c r="H292" s="100"/>
    </row>
    <row r="293" spans="1:16" s="58" customFormat="1" ht="18">
      <c r="A293" s="127"/>
      <c r="B293" s="129" t="s">
        <v>362</v>
      </c>
      <c r="C293" s="126"/>
      <c r="D293" s="126"/>
      <c r="E293" s="149"/>
      <c r="F293" s="111"/>
      <c r="G293" s="111"/>
      <c r="H293" s="100"/>
    </row>
    <row r="294" spans="1:16" s="58" customFormat="1" ht="18">
      <c r="A294" s="127"/>
      <c r="B294" s="54" t="s">
        <v>178</v>
      </c>
      <c r="C294" s="152" t="s">
        <v>378</v>
      </c>
      <c r="D294" s="152"/>
      <c r="E294" s="153"/>
      <c r="F294" s="154"/>
      <c r="G294" s="111"/>
      <c r="H294" s="100"/>
    </row>
    <row r="295" spans="1:16" s="58" customFormat="1" ht="18">
      <c r="A295" s="179"/>
      <c r="B295" s="54" t="s">
        <v>341</v>
      </c>
      <c r="C295" s="155" t="s">
        <v>120</v>
      </c>
      <c r="D295" s="243"/>
      <c r="E295" s="410"/>
      <c r="F295" s="411"/>
      <c r="G295" s="111"/>
      <c r="H295" s="100"/>
    </row>
    <row r="296" spans="1:16" s="58" customFormat="1" ht="18">
      <c r="A296" s="179"/>
      <c r="B296" s="54"/>
      <c r="C296" s="155" t="s">
        <v>121</v>
      </c>
      <c r="D296" s="243"/>
      <c r="E296" s="410"/>
      <c r="F296" s="411"/>
      <c r="G296" s="111"/>
      <c r="H296" s="100"/>
    </row>
    <row r="297" spans="1:16" s="58" customFormat="1" ht="18">
      <c r="A297" s="179"/>
      <c r="B297" s="54"/>
      <c r="C297" s="155" t="s">
        <v>665</v>
      </c>
      <c r="D297" s="243"/>
      <c r="E297" s="410"/>
      <c r="F297" s="411"/>
      <c r="G297" s="111"/>
      <c r="H297" s="100"/>
    </row>
    <row r="298" spans="1:16" s="58" customFormat="1" ht="18">
      <c r="A298" s="127"/>
      <c r="B298" s="54" t="s">
        <v>150</v>
      </c>
      <c r="C298" s="155" t="s">
        <v>379</v>
      </c>
      <c r="D298" s="152"/>
      <c r="E298" s="153"/>
      <c r="F298" s="154"/>
      <c r="G298" s="111"/>
      <c r="H298" s="1028"/>
      <c r="J298" s="1026"/>
      <c r="K298" s="1026"/>
      <c r="L298" s="1026"/>
      <c r="M298" s="1026"/>
      <c r="N298" s="1026"/>
      <c r="O298" s="1026"/>
      <c r="P298" s="1027"/>
    </row>
    <row r="299" spans="1:16" s="58" customFormat="1" ht="18">
      <c r="A299" s="127"/>
      <c r="B299" s="54" t="s">
        <v>179</v>
      </c>
      <c r="C299" s="156" t="s">
        <v>65</v>
      </c>
      <c r="D299" s="152"/>
      <c r="E299" s="153"/>
      <c r="F299" s="154"/>
      <c r="G299" s="111"/>
      <c r="H299" s="1028"/>
      <c r="J299" s="1026"/>
      <c r="K299" s="1026"/>
      <c r="L299" s="1026"/>
      <c r="M299" s="1026"/>
      <c r="N299" s="1026"/>
      <c r="O299" s="1026"/>
      <c r="P299" s="1027"/>
    </row>
    <row r="300" spans="1:16" s="58" customFormat="1" ht="18">
      <c r="A300" s="127"/>
      <c r="B300" s="54" t="s">
        <v>177</v>
      </c>
      <c r="C300" s="157" t="s">
        <v>216</v>
      </c>
      <c r="D300" s="152"/>
      <c r="E300" s="153"/>
      <c r="F300" s="154"/>
      <c r="G300" s="111"/>
      <c r="H300" s="1028"/>
      <c r="J300" s="1026"/>
      <c r="K300" s="1026"/>
      <c r="L300" s="1026"/>
      <c r="M300" s="1026"/>
      <c r="N300" s="1026"/>
      <c r="O300" s="1026"/>
      <c r="P300" s="1027"/>
    </row>
    <row r="301" spans="1:16" s="58" customFormat="1" ht="18">
      <c r="A301" s="179"/>
      <c r="B301" s="54" t="s">
        <v>565</v>
      </c>
      <c r="C301" s="156" t="s">
        <v>415</v>
      </c>
      <c r="D301" s="152"/>
      <c r="E301" s="153"/>
      <c r="F301" s="154"/>
      <c r="G301" s="111"/>
      <c r="H301" s="1028"/>
      <c r="J301" s="1026"/>
      <c r="K301" s="1026"/>
      <c r="L301" s="1026"/>
      <c r="M301" s="1026"/>
      <c r="N301" s="1026"/>
      <c r="O301" s="1026"/>
      <c r="P301" s="1027"/>
    </row>
    <row r="302" spans="1:16" s="58" customFormat="1" ht="18">
      <c r="A302" s="127"/>
      <c r="B302" s="54" t="s">
        <v>180</v>
      </c>
      <c r="C302" s="156" t="s">
        <v>64</v>
      </c>
      <c r="D302" s="152"/>
      <c r="E302" s="153"/>
      <c r="F302" s="154"/>
      <c r="G302" s="111"/>
      <c r="H302" s="1028"/>
      <c r="J302" s="1026"/>
      <c r="K302" s="1026"/>
      <c r="L302" s="1026"/>
      <c r="M302" s="1026"/>
      <c r="N302" s="1026"/>
      <c r="O302" s="1026"/>
      <c r="P302" s="1027"/>
    </row>
    <row r="303" spans="1:16" s="58" customFormat="1" ht="18">
      <c r="A303" s="127"/>
      <c r="B303" s="54" t="s">
        <v>162</v>
      </c>
      <c r="C303" s="156" t="s">
        <v>183</v>
      </c>
      <c r="D303" s="152"/>
      <c r="E303" s="153"/>
      <c r="F303" s="154"/>
      <c r="G303" s="111"/>
      <c r="H303" s="1028"/>
      <c r="J303" s="1026"/>
      <c r="K303" s="1026"/>
      <c r="L303" s="1026"/>
      <c r="M303" s="1026"/>
      <c r="N303" s="1026"/>
      <c r="O303" s="1026"/>
      <c r="P303" s="1027"/>
    </row>
    <row r="304" spans="1:16" s="58" customFormat="1" ht="18">
      <c r="A304" s="127"/>
      <c r="B304" s="54"/>
      <c r="C304" s="156" t="s">
        <v>184</v>
      </c>
      <c r="D304" s="152"/>
      <c r="E304" s="153"/>
      <c r="F304" s="154"/>
      <c r="G304" s="111"/>
      <c r="H304" s="1028"/>
      <c r="J304" s="1026"/>
      <c r="K304" s="1026"/>
      <c r="L304" s="1026"/>
      <c r="M304" s="1026"/>
      <c r="N304" s="1026"/>
      <c r="O304" s="1026"/>
      <c r="P304" s="1027"/>
    </row>
    <row r="305" spans="1:16" s="58" customFormat="1" ht="18">
      <c r="A305" s="127"/>
      <c r="B305" s="54"/>
      <c r="C305" s="156" t="s">
        <v>194</v>
      </c>
      <c r="D305" s="152"/>
      <c r="E305" s="153"/>
      <c r="F305" s="154"/>
      <c r="G305" s="111"/>
      <c r="H305" s="1026"/>
      <c r="I305" s="1026"/>
      <c r="J305" s="1026"/>
      <c r="K305" s="1026"/>
      <c r="L305" s="1026"/>
      <c r="M305" s="1026"/>
      <c r="N305" s="1026"/>
      <c r="O305" s="1026"/>
      <c r="P305" s="1027"/>
    </row>
    <row r="306" spans="1:16" s="58" customFormat="1" ht="18">
      <c r="A306" s="127"/>
      <c r="B306" s="54"/>
      <c r="C306" s="156" t="s">
        <v>195</v>
      </c>
      <c r="D306" s="152"/>
      <c r="E306" s="153"/>
      <c r="F306" s="154"/>
      <c r="G306" s="111"/>
      <c r="H306" s="100"/>
    </row>
    <row r="307" spans="1:16" s="58" customFormat="1" ht="18">
      <c r="A307" s="179"/>
      <c r="B307" s="54"/>
      <c r="C307" s="156" t="s">
        <v>196</v>
      </c>
      <c r="D307" s="152"/>
      <c r="E307" s="153"/>
      <c r="F307" s="154"/>
      <c r="G307" s="111"/>
      <c r="H307" s="100"/>
    </row>
    <row r="308" spans="1:16" s="58" customFormat="1" ht="18">
      <c r="A308" s="179"/>
      <c r="B308" s="54"/>
      <c r="C308" s="156" t="s">
        <v>456</v>
      </c>
      <c r="D308" s="152"/>
      <c r="E308" s="153"/>
      <c r="F308" s="154"/>
      <c r="G308" s="111"/>
      <c r="H308" s="100"/>
    </row>
    <row r="309" spans="1:16" s="58" customFormat="1" ht="18">
      <c r="A309" s="179"/>
      <c r="B309" s="54" t="s">
        <v>164</v>
      </c>
      <c r="C309" s="156" t="s">
        <v>996</v>
      </c>
      <c r="D309" s="152"/>
      <c r="E309" s="153"/>
      <c r="F309" s="154"/>
      <c r="G309" s="111"/>
      <c r="H309" s="100"/>
    </row>
    <row r="310" spans="1:16" s="58" customFormat="1" ht="18">
      <c r="A310" s="179"/>
      <c r="B310" s="54"/>
      <c r="C310" s="156" t="s">
        <v>981</v>
      </c>
      <c r="D310" s="152"/>
      <c r="E310" s="153"/>
      <c r="F310" s="154"/>
      <c r="G310" s="111"/>
      <c r="H310" s="100"/>
    </row>
    <row r="311" spans="1:16" s="58" customFormat="1" ht="18">
      <c r="A311" s="179"/>
      <c r="B311" s="54"/>
      <c r="C311" s="156" t="s">
        <v>983</v>
      </c>
      <c r="D311" s="152"/>
      <c r="E311" s="153"/>
      <c r="F311" s="154"/>
      <c r="G311" s="111"/>
      <c r="H311" s="100"/>
    </row>
    <row r="312" spans="1:16" s="58" customFormat="1" ht="18">
      <c r="A312" s="179"/>
      <c r="B312" s="54"/>
      <c r="C312" s="156" t="s">
        <v>982</v>
      </c>
      <c r="D312" s="152"/>
      <c r="E312" s="153"/>
      <c r="F312" s="154"/>
      <c r="G312" s="111"/>
      <c r="H312" s="100"/>
    </row>
    <row r="313" spans="1:16" s="58" customFormat="1" ht="18">
      <c r="A313" s="179"/>
      <c r="B313" s="54" t="s">
        <v>182</v>
      </c>
      <c r="C313" s="152" t="s">
        <v>416</v>
      </c>
      <c r="D313" s="152"/>
      <c r="E313" s="153"/>
      <c r="F313" s="154"/>
      <c r="G313" s="111"/>
      <c r="H313" s="100"/>
    </row>
    <row r="314" spans="1:16" s="58" customFormat="1" ht="18">
      <c r="A314" s="179"/>
      <c r="B314" s="54" t="s">
        <v>308</v>
      </c>
      <c r="C314" s="243" t="s">
        <v>246</v>
      </c>
      <c r="D314" s="152"/>
      <c r="E314" s="153"/>
      <c r="F314" s="154"/>
      <c r="G314" s="111"/>
      <c r="H314" s="100"/>
    </row>
    <row r="315" spans="1:16" ht="15.75">
      <c r="A315" s="53"/>
      <c r="B315" s="8" t="s">
        <v>309</v>
      </c>
      <c r="C315" s="167" t="s">
        <v>682</v>
      </c>
      <c r="D315" s="167"/>
      <c r="E315" s="153"/>
      <c r="F315" s="154"/>
      <c r="G315" s="111"/>
      <c r="H315" s="100"/>
    </row>
    <row r="316" spans="1:16" ht="15.75">
      <c r="A316" s="53"/>
      <c r="B316" s="8" t="s">
        <v>566</v>
      </c>
      <c r="C316" s="220" t="s">
        <v>514</v>
      </c>
      <c r="D316" s="167"/>
      <c r="E316" s="153"/>
      <c r="F316" s="154"/>
      <c r="G316" s="111"/>
      <c r="H316" s="100"/>
    </row>
    <row r="317" spans="1:16" ht="15.75">
      <c r="A317" s="53"/>
      <c r="B317" s="8"/>
      <c r="C317" s="220" t="s">
        <v>513</v>
      </c>
      <c r="D317" s="167"/>
      <c r="E317" s="153"/>
      <c r="F317" s="154"/>
      <c r="G317" s="111"/>
      <c r="H317" s="100"/>
    </row>
    <row r="318" spans="1:16" ht="15.75">
      <c r="A318" s="53"/>
      <c r="B318" s="8"/>
      <c r="C318" s="220" t="s">
        <v>769</v>
      </c>
      <c r="D318" s="157"/>
      <c r="E318" s="410"/>
      <c r="F318" s="411"/>
      <c r="G318" s="111"/>
      <c r="H318" s="100"/>
    </row>
    <row r="319" spans="1:16" ht="15.75">
      <c r="A319" s="53"/>
      <c r="B319" s="8" t="s">
        <v>636</v>
      </c>
      <c r="C319" s="220" t="s">
        <v>244</v>
      </c>
      <c r="D319" s="644"/>
      <c r="E319" s="413"/>
      <c r="F319" s="466"/>
      <c r="G319" s="111"/>
      <c r="H319" s="100"/>
    </row>
    <row r="320" spans="1:16" ht="15.75">
      <c r="A320" s="53"/>
      <c r="B320" s="8"/>
      <c r="C320" s="220" t="s">
        <v>768</v>
      </c>
      <c r="D320" s="644"/>
      <c r="E320" s="413"/>
      <c r="F320" s="466"/>
      <c r="G320" s="111"/>
      <c r="H320" s="100"/>
    </row>
    <row r="321" spans="1:9" s="58" customFormat="1" ht="18">
      <c r="A321" s="619"/>
      <c r="B321" s="8" t="s">
        <v>222</v>
      </c>
      <c r="C321" s="260" t="s">
        <v>245</v>
      </c>
      <c r="D321" s="921"/>
      <c r="E321" s="921"/>
      <c r="F321" s="921"/>
      <c r="G321" s="127"/>
      <c r="H321" s="127"/>
    </row>
    <row r="322" spans="1:9" ht="15.75">
      <c r="A322" s="146"/>
      <c r="B322" s="146" t="s">
        <v>0</v>
      </c>
      <c r="C322" s="243" t="s">
        <v>157</v>
      </c>
      <c r="D322" s="467"/>
      <c r="E322" s="413"/>
      <c r="F322" s="466"/>
      <c r="G322" s="111"/>
      <c r="H322" s="100"/>
    </row>
    <row r="323" spans="1:9" ht="15.75">
      <c r="A323" s="146"/>
      <c r="B323" s="146"/>
      <c r="C323" s="243" t="s">
        <v>158</v>
      </c>
      <c r="D323" s="467"/>
      <c r="E323" s="413"/>
      <c r="F323" s="466"/>
      <c r="G323" s="111"/>
      <c r="H323" s="100"/>
    </row>
    <row r="324" spans="1:9" ht="15.75">
      <c r="A324" s="146"/>
      <c r="B324" s="468"/>
      <c r="C324" s="243" t="s">
        <v>997</v>
      </c>
      <c r="D324" s="467"/>
      <c r="E324" s="413"/>
      <c r="F324" s="466"/>
      <c r="G324" s="111"/>
      <c r="H324" s="100"/>
    </row>
    <row r="325" spans="1:9" ht="15.75">
      <c r="A325" s="146"/>
      <c r="B325" s="468"/>
      <c r="C325" s="243" t="s">
        <v>984</v>
      </c>
      <c r="D325" s="467"/>
      <c r="E325" s="413"/>
      <c r="F325" s="466"/>
      <c r="G325" s="111"/>
      <c r="H325" s="100"/>
    </row>
    <row r="326" spans="1:9" ht="15.75">
      <c r="A326" s="146"/>
      <c r="B326" s="146"/>
      <c r="C326" s="243" t="s">
        <v>985</v>
      </c>
      <c r="D326" s="467"/>
      <c r="E326" s="413"/>
      <c r="F326" s="466"/>
      <c r="G326" s="111"/>
      <c r="H326" s="100"/>
    </row>
    <row r="327" spans="1:9" ht="15.75">
      <c r="A327" s="146"/>
      <c r="B327" s="146" t="s">
        <v>781</v>
      </c>
      <c r="C327" s="243" t="s">
        <v>812</v>
      </c>
      <c r="D327" s="467"/>
      <c r="E327" s="413"/>
      <c r="F327" s="466"/>
      <c r="G327" s="466"/>
      <c r="H327" s="673"/>
    </row>
    <row r="328" spans="1:9" ht="15.75">
      <c r="A328" s="146"/>
      <c r="B328" s="146"/>
      <c r="C328" s="243" t="s">
        <v>969</v>
      </c>
      <c r="D328" s="467"/>
      <c r="E328" s="413"/>
      <c r="F328" s="466"/>
      <c r="G328" s="466"/>
      <c r="H328" s="673"/>
    </row>
    <row r="329" spans="1:9" ht="15.75">
      <c r="A329" s="146"/>
      <c r="B329" s="146"/>
      <c r="C329" s="243" t="s">
        <v>986</v>
      </c>
      <c r="D329" s="467"/>
      <c r="E329" s="413"/>
      <c r="F329" s="466"/>
      <c r="G329" s="466"/>
      <c r="H329" s="673"/>
    </row>
    <row r="330" spans="1:9" ht="15.75">
      <c r="A330" s="146"/>
      <c r="B330" s="146"/>
      <c r="C330" s="243" t="s">
        <v>987</v>
      </c>
      <c r="D330" s="467"/>
      <c r="E330" s="413"/>
      <c r="F330" s="466"/>
      <c r="G330" s="466"/>
      <c r="H330" s="673"/>
    </row>
    <row r="331" spans="1:9" ht="15.75">
      <c r="A331" s="146"/>
      <c r="B331" s="146" t="s">
        <v>970</v>
      </c>
      <c r="C331" s="243" t="s">
        <v>971</v>
      </c>
      <c r="D331" s="467"/>
      <c r="E331" s="413"/>
      <c r="F331" s="466"/>
      <c r="G331" s="466"/>
      <c r="H331" s="673"/>
    </row>
    <row r="332" spans="1:9" ht="15.75">
      <c r="A332" s="113"/>
      <c r="B332" s="112"/>
      <c r="C332" s="94"/>
      <c r="D332" s="93"/>
      <c r="E332" s="922"/>
      <c r="F332" s="93"/>
      <c r="G332" s="93"/>
      <c r="H332" s="94"/>
    </row>
    <row r="333" spans="1:9">
      <c r="A333" s="23"/>
      <c r="B333" s="8"/>
      <c r="C333" s="21"/>
      <c r="D333" s="21"/>
    </row>
    <row r="334" spans="1:9">
      <c r="H334" s="106"/>
    </row>
    <row r="335" spans="1:9">
      <c r="H335" s="105"/>
    </row>
    <row r="336" spans="1:9">
      <c r="F336" s="27"/>
      <c r="G336" s="27"/>
      <c r="H336" s="1042"/>
      <c r="I336" s="27"/>
    </row>
    <row r="337" spans="3:9" ht="18">
      <c r="F337" s="27"/>
      <c r="G337" s="27"/>
      <c r="H337" s="1028"/>
      <c r="I337" s="27"/>
    </row>
    <row r="338" spans="3:9" ht="18">
      <c r="F338" s="27"/>
      <c r="G338" s="27"/>
      <c r="H338" s="1043"/>
      <c r="I338" s="27"/>
    </row>
    <row r="339" spans="3:9" ht="18">
      <c r="F339" s="27"/>
      <c r="G339" s="27"/>
      <c r="H339" s="1028"/>
      <c r="I339" s="27"/>
    </row>
    <row r="340" spans="3:9">
      <c r="C340" s="1033"/>
      <c r="F340" s="27"/>
      <c r="G340" s="27"/>
      <c r="H340" s="27"/>
      <c r="I340" s="27"/>
    </row>
    <row r="341" spans="3:9">
      <c r="F341" s="27"/>
      <c r="G341" s="27"/>
      <c r="H341" s="1042"/>
      <c r="I341" s="27"/>
    </row>
    <row r="342" spans="3:9" ht="18">
      <c r="F342" s="27"/>
      <c r="G342" s="27"/>
      <c r="H342" s="1028"/>
      <c r="I342" s="27"/>
    </row>
    <row r="343" spans="3:9" ht="18">
      <c r="F343" s="27"/>
      <c r="G343" s="27"/>
      <c r="H343" s="1043"/>
      <c r="I343" s="27"/>
    </row>
    <row r="344" spans="3:9" ht="18">
      <c r="F344" s="27"/>
      <c r="G344" s="27"/>
      <c r="H344" s="1028"/>
      <c r="I344" s="27"/>
    </row>
    <row r="345" spans="3:9">
      <c r="F345" s="27"/>
      <c r="G345" s="27"/>
      <c r="H345" s="27"/>
      <c r="I345" s="27"/>
    </row>
    <row r="346" spans="3:9">
      <c r="F346" s="27"/>
      <c r="G346" s="27"/>
      <c r="H346" s="27"/>
      <c r="I346" s="27"/>
    </row>
    <row r="347" spans="3:9">
      <c r="F347" s="42"/>
      <c r="G347" s="27"/>
      <c r="H347" s="27"/>
      <c r="I347" s="27"/>
    </row>
    <row r="348" spans="3:9">
      <c r="F348" s="42"/>
      <c r="G348" s="27"/>
      <c r="H348" s="27"/>
      <c r="I348" s="27"/>
    </row>
    <row r="349" spans="3:9">
      <c r="F349" s="27"/>
      <c r="G349" s="27"/>
      <c r="H349" s="27"/>
      <c r="I349" s="27"/>
    </row>
    <row r="350" spans="3:9">
      <c r="F350" s="27"/>
      <c r="G350" s="27"/>
      <c r="H350" s="27"/>
      <c r="I350" s="27"/>
    </row>
    <row r="351" spans="3:9">
      <c r="F351" s="27"/>
      <c r="G351" s="27"/>
      <c r="H351" s="27"/>
      <c r="I351" s="27"/>
    </row>
    <row r="352" spans="3:9">
      <c r="F352" s="27"/>
      <c r="G352" s="27"/>
      <c r="H352" s="27"/>
      <c r="I352" s="27"/>
    </row>
    <row r="353" spans="6:9">
      <c r="F353" s="27"/>
      <c r="G353" s="27"/>
      <c r="H353" s="27"/>
      <c r="I353" s="27"/>
    </row>
    <row r="354" spans="6:9" ht="18">
      <c r="F354" s="27"/>
      <c r="G354" s="27"/>
      <c r="H354" s="1028"/>
      <c r="I354" s="27"/>
    </row>
    <row r="355" spans="6:9" ht="18">
      <c r="F355" s="27"/>
      <c r="G355" s="27"/>
      <c r="H355" s="1043"/>
      <c r="I355" s="27"/>
    </row>
    <row r="356" spans="6:9" ht="18">
      <c r="F356" s="27"/>
      <c r="G356" s="27"/>
      <c r="H356" s="1028"/>
      <c r="I356" s="27"/>
    </row>
    <row r="357" spans="6:9">
      <c r="F357" s="27"/>
      <c r="G357" s="27"/>
      <c r="H357" s="27"/>
      <c r="I357" s="27"/>
    </row>
    <row r="358" spans="6:9" ht="18">
      <c r="F358" s="27"/>
      <c r="G358" s="27"/>
      <c r="H358" s="1028"/>
      <c r="I358" s="27"/>
    </row>
    <row r="359" spans="6:9">
      <c r="F359" s="27"/>
      <c r="G359" s="27"/>
      <c r="H359" s="27"/>
      <c r="I359" s="27"/>
    </row>
  </sheetData>
  <mergeCells count="3">
    <mergeCell ref="F4:F5"/>
    <mergeCell ref="C41:D41"/>
    <mergeCell ref="H4:H5"/>
  </mergeCells>
  <phoneticPr fontId="0" type="noConversion"/>
  <printOptions horizontalCentered="1"/>
  <pageMargins left="0.5" right="0.5" top="1.5" bottom="0.5" header="0.5" footer="0.5"/>
  <pageSetup scale="45" fitToHeight="10" orientation="portrait" r:id="rId1"/>
  <headerFooter alignWithMargins="0">
    <oddHeader>&amp;L&amp;"Arial,Bold"&amp;22Baltimore Gas and Electric Company
&amp;R&amp;"Times New Roman,Bold"&amp;22Appendix A
Page &amp;P of &amp;N</oddHeader>
    <oddFooter>&amp;CPage &amp;P of 5</oddFooter>
  </headerFooter>
  <rowBreaks count="4" manualBreakCount="4">
    <brk id="70" max="7" man="1"/>
    <brk id="145" max="7" man="1"/>
    <brk id="214" max="7" man="1"/>
    <brk id="291"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3"/>
  <sheetViews>
    <sheetView zoomScaleNormal="100" zoomScaleSheetLayoutView="100" workbookViewId="0">
      <selection sqref="A1:J1"/>
    </sheetView>
  </sheetViews>
  <sheetFormatPr defaultColWidth="9.140625" defaultRowHeight="12.75"/>
  <cols>
    <col min="1" max="1" width="4.140625" style="960" customWidth="1"/>
    <col min="2" max="2" width="4.7109375" style="960" customWidth="1"/>
    <col min="3" max="3" width="7.140625" style="960" customWidth="1"/>
    <col min="4" max="4" width="14.42578125" style="627" customWidth="1"/>
    <col min="5" max="5" width="14.140625" style="627" customWidth="1"/>
    <col min="6" max="6" width="17.42578125" style="627" customWidth="1"/>
    <col min="7" max="7" width="15.140625" style="627" customWidth="1"/>
    <col min="8" max="8" width="11" style="627" customWidth="1"/>
    <col min="9" max="9" width="15" style="627" customWidth="1"/>
    <col min="10" max="10" width="12.85546875" style="627" customWidth="1"/>
    <col min="11" max="11" width="10.28515625" style="627" customWidth="1"/>
    <col min="12" max="12" width="9.140625" style="627"/>
    <col min="13" max="13" width="11" style="627" bestFit="1" customWidth="1"/>
    <col min="14" max="14" width="9.140625" style="627"/>
    <col min="15" max="15" width="10.28515625" style="627" bestFit="1" customWidth="1"/>
    <col min="16" max="16384" width="9.140625" style="627"/>
  </cols>
  <sheetData>
    <row r="1" spans="1:29" ht="18">
      <c r="A1" s="1071" t="str">
        <f>+'ATT H-2A'!A4</f>
        <v>Baltimore Gas and Electric Company</v>
      </c>
      <c r="B1" s="1151"/>
      <c r="C1" s="1151"/>
      <c r="D1" s="1151"/>
      <c r="E1" s="1151"/>
      <c r="F1" s="1151"/>
      <c r="G1" s="1151"/>
      <c r="H1" s="1151"/>
      <c r="I1" s="1151"/>
      <c r="J1" s="1151"/>
    </row>
    <row r="2" spans="1:29">
      <c r="A2" s="187"/>
    </row>
    <row r="3" spans="1:29" ht="18">
      <c r="A3" s="1078" t="s">
        <v>52</v>
      </c>
      <c r="B3" s="1078"/>
      <c r="C3" s="1078"/>
      <c r="D3" s="1078"/>
      <c r="E3" s="1078"/>
      <c r="F3" s="1078"/>
      <c r="G3" s="1078"/>
      <c r="H3" s="1078"/>
      <c r="I3" s="1070"/>
      <c r="J3" s="1070"/>
    </row>
    <row r="5" spans="1:29" ht="16.5">
      <c r="J5" s="991"/>
    </row>
    <row r="6" spans="1:29" ht="13.5">
      <c r="A6" s="474" t="s">
        <v>578</v>
      </c>
      <c r="B6" s="474" t="s">
        <v>579</v>
      </c>
      <c r="C6" s="474" t="s">
        <v>580</v>
      </c>
      <c r="D6" s="474" t="s">
        <v>581</v>
      </c>
      <c r="E6" s="475"/>
      <c r="F6" s="475"/>
      <c r="G6" s="475"/>
      <c r="H6" s="475"/>
      <c r="I6" s="475"/>
      <c r="J6" s="475"/>
      <c r="K6" s="475"/>
      <c r="L6" s="475"/>
      <c r="M6" s="475"/>
      <c r="N6" s="475"/>
      <c r="O6" s="475"/>
      <c r="P6" s="475"/>
      <c r="Q6" s="475"/>
      <c r="R6" s="475"/>
      <c r="S6" s="475"/>
      <c r="T6" s="475"/>
      <c r="U6" s="475"/>
      <c r="V6" s="475"/>
      <c r="W6" s="475"/>
      <c r="X6" s="475"/>
      <c r="Y6" s="475"/>
      <c r="Z6" s="475"/>
      <c r="AA6" s="475"/>
      <c r="AB6" s="475"/>
      <c r="AC6" s="476"/>
    </row>
    <row r="7" spans="1:29" ht="13.5">
      <c r="B7" s="474"/>
      <c r="C7" s="474"/>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6"/>
    </row>
    <row r="8" spans="1:29" ht="13.5">
      <c r="A8" s="477" t="s">
        <v>582</v>
      </c>
      <c r="B8" s="474"/>
      <c r="C8" s="474"/>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6"/>
    </row>
    <row r="9" spans="1:29" ht="13.5">
      <c r="A9" s="474">
        <v>1</v>
      </c>
      <c r="B9" s="474" t="s">
        <v>583</v>
      </c>
      <c r="C9" s="610" t="s">
        <v>266</v>
      </c>
      <c r="D9" s="481" t="s">
        <v>674</v>
      </c>
      <c r="E9" s="475"/>
      <c r="F9" s="475"/>
      <c r="G9" s="475"/>
      <c r="H9" s="475"/>
      <c r="I9" s="475"/>
      <c r="J9" s="475"/>
      <c r="K9" s="475"/>
      <c r="L9" s="475"/>
      <c r="M9" s="475"/>
      <c r="N9" s="475"/>
      <c r="O9" s="475"/>
      <c r="P9" s="475"/>
      <c r="Q9" s="475"/>
      <c r="R9" s="475"/>
      <c r="S9" s="475"/>
      <c r="T9" s="475"/>
      <c r="U9" s="475"/>
      <c r="V9" s="475"/>
      <c r="W9" s="475"/>
      <c r="X9" s="475"/>
      <c r="Y9" s="475"/>
      <c r="Z9" s="475"/>
      <c r="AA9" s="475"/>
      <c r="AB9" s="475"/>
      <c r="AC9" s="476"/>
    </row>
    <row r="10" spans="1:29" ht="13.5">
      <c r="A10" s="474">
        <v>2</v>
      </c>
      <c r="B10" s="474" t="str">
        <f>+B9</f>
        <v>April</v>
      </c>
      <c r="C10" s="610" t="str">
        <f>+C9</f>
        <v>Year 2</v>
      </c>
      <c r="D10" s="481" t="s">
        <v>668</v>
      </c>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6"/>
    </row>
    <row r="11" spans="1:29" ht="13.5">
      <c r="A11" s="474">
        <v>3</v>
      </c>
      <c r="B11" s="474" t="s">
        <v>583</v>
      </c>
      <c r="C11" s="610" t="str">
        <f>+C10</f>
        <v>Year 2</v>
      </c>
      <c r="D11" s="481" t="s">
        <v>642</v>
      </c>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476"/>
    </row>
    <row r="12" spans="1:29" ht="13.5">
      <c r="A12" s="474">
        <v>4</v>
      </c>
      <c r="B12" s="474" t="s">
        <v>584</v>
      </c>
      <c r="C12" s="610" t="str">
        <f>+C11</f>
        <v>Year 2</v>
      </c>
      <c r="D12" s="481" t="s">
        <v>267</v>
      </c>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6"/>
    </row>
    <row r="13" spans="1:29" ht="13.5">
      <c r="A13" s="474">
        <v>5</v>
      </c>
      <c r="B13" s="478" t="s">
        <v>585</v>
      </c>
      <c r="C13" s="610" t="str">
        <f>+C12</f>
        <v>Year 2</v>
      </c>
      <c r="D13" s="481" t="s">
        <v>669</v>
      </c>
      <c r="E13" s="475"/>
      <c r="F13" s="475"/>
      <c r="G13" s="475"/>
      <c r="H13" s="475"/>
      <c r="I13" s="475"/>
      <c r="J13" s="475"/>
      <c r="K13" s="475"/>
      <c r="L13" s="475"/>
      <c r="M13" s="475"/>
      <c r="N13" s="475"/>
      <c r="O13" s="475"/>
      <c r="P13" s="475"/>
      <c r="Q13" s="475"/>
      <c r="R13" s="475"/>
      <c r="S13" s="475"/>
      <c r="T13" s="475"/>
      <c r="U13" s="475"/>
      <c r="V13" s="475"/>
      <c r="W13" s="475"/>
      <c r="X13" s="475"/>
      <c r="Y13" s="475"/>
      <c r="Z13" s="475"/>
      <c r="AA13" s="475"/>
      <c r="AB13" s="475"/>
      <c r="AC13" s="476"/>
    </row>
    <row r="14" spans="1:29" ht="13.5">
      <c r="A14" s="474"/>
      <c r="B14" s="474"/>
      <c r="C14" s="610"/>
      <c r="D14" s="481"/>
      <c r="E14" s="475"/>
      <c r="F14" s="475"/>
      <c r="G14" s="475"/>
      <c r="H14" s="475"/>
      <c r="I14" s="475"/>
      <c r="J14" s="475"/>
      <c r="K14" s="475"/>
      <c r="L14" s="475"/>
      <c r="M14" s="475"/>
      <c r="N14" s="475"/>
      <c r="O14" s="475"/>
      <c r="P14" s="475"/>
      <c r="Q14" s="475"/>
      <c r="R14" s="475"/>
      <c r="S14" s="475"/>
      <c r="T14" s="475"/>
      <c r="U14" s="475"/>
      <c r="V14" s="475"/>
      <c r="W14" s="475"/>
      <c r="X14" s="475"/>
      <c r="Y14" s="475"/>
      <c r="Z14" s="475"/>
      <c r="AA14" s="475"/>
      <c r="AB14" s="475"/>
      <c r="AC14" s="476"/>
    </row>
    <row r="15" spans="1:29" ht="13.5">
      <c r="A15" s="474">
        <v>6</v>
      </c>
      <c r="B15" s="474" t="str">
        <f>+B9</f>
        <v>April</v>
      </c>
      <c r="C15" s="610" t="s">
        <v>268</v>
      </c>
      <c r="D15" s="481" t="s">
        <v>670</v>
      </c>
      <c r="E15" s="475"/>
      <c r="F15" s="475"/>
      <c r="G15" s="475"/>
      <c r="H15" s="475"/>
      <c r="I15" s="475"/>
      <c r="J15" s="475"/>
      <c r="K15" s="475"/>
      <c r="L15" s="475"/>
      <c r="M15" s="475"/>
      <c r="N15" s="475"/>
      <c r="O15" s="475"/>
      <c r="P15" s="475"/>
      <c r="Q15" s="475"/>
      <c r="R15" s="475"/>
      <c r="S15" s="475"/>
      <c r="T15" s="475"/>
      <c r="U15" s="475"/>
      <c r="V15" s="475"/>
      <c r="W15" s="475"/>
      <c r="X15" s="475"/>
      <c r="Y15" s="475"/>
      <c r="Z15" s="475"/>
      <c r="AA15" s="475"/>
      <c r="AB15" s="475"/>
      <c r="AC15" s="476"/>
    </row>
    <row r="16" spans="1:29" ht="13.5">
      <c r="A16" s="474">
        <v>7</v>
      </c>
      <c r="B16" s="474" t="str">
        <f>+B15</f>
        <v>April</v>
      </c>
      <c r="C16" s="610" t="str">
        <f>+C15</f>
        <v>Year 3</v>
      </c>
      <c r="D16" s="481" t="s">
        <v>671</v>
      </c>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6"/>
    </row>
    <row r="17" spans="1:29" ht="13.5">
      <c r="A17" s="616">
        <v>8</v>
      </c>
      <c r="B17" s="616" t="str">
        <f>+B16</f>
        <v>April</v>
      </c>
      <c r="C17" s="617" t="str">
        <f>+C16</f>
        <v>Year 3</v>
      </c>
      <c r="D17" s="481" t="s">
        <v>672</v>
      </c>
      <c r="E17" s="481"/>
      <c r="F17" s="481"/>
      <c r="G17" s="481"/>
      <c r="H17" s="481"/>
      <c r="I17" s="481"/>
      <c r="J17" s="481"/>
      <c r="K17" s="481"/>
      <c r="L17" s="615"/>
      <c r="M17" s="615"/>
      <c r="N17" s="475"/>
      <c r="O17" s="475"/>
      <c r="P17" s="475"/>
      <c r="Q17" s="475"/>
      <c r="R17" s="475"/>
      <c r="S17" s="475"/>
      <c r="T17" s="475"/>
      <c r="U17" s="475"/>
      <c r="V17" s="475"/>
      <c r="W17" s="475"/>
      <c r="X17" s="475"/>
      <c r="Y17" s="475"/>
      <c r="Z17" s="475"/>
      <c r="AA17" s="475"/>
      <c r="AB17" s="475"/>
      <c r="AC17" s="476"/>
    </row>
    <row r="18" spans="1:29" ht="13.5">
      <c r="A18" s="616"/>
      <c r="B18" s="616"/>
      <c r="C18" s="617"/>
      <c r="D18" s="481" t="s">
        <v>481</v>
      </c>
      <c r="E18" s="481"/>
      <c r="F18" s="481"/>
      <c r="G18" s="481"/>
      <c r="H18" s="481"/>
      <c r="I18" s="481"/>
      <c r="J18" s="481"/>
      <c r="K18" s="481"/>
      <c r="L18" s="615"/>
      <c r="M18" s="615"/>
      <c r="N18" s="475"/>
      <c r="O18" s="475"/>
      <c r="P18" s="475"/>
      <c r="Q18" s="475"/>
      <c r="R18" s="475"/>
      <c r="S18" s="475"/>
      <c r="T18" s="475"/>
      <c r="U18" s="475"/>
      <c r="V18" s="475"/>
      <c r="W18" s="475"/>
      <c r="X18" s="475"/>
      <c r="Y18" s="475"/>
      <c r="Z18" s="475"/>
      <c r="AA18" s="475"/>
      <c r="AB18" s="475"/>
      <c r="AC18" s="476"/>
    </row>
    <row r="19" spans="1:29" ht="13.5">
      <c r="A19" s="474">
        <v>9</v>
      </c>
      <c r="B19" s="474" t="str">
        <f>+B17</f>
        <v>April</v>
      </c>
      <c r="C19" s="610" t="str">
        <f>+C17</f>
        <v>Year 3</v>
      </c>
      <c r="D19" s="481" t="s">
        <v>269</v>
      </c>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6"/>
    </row>
    <row r="20" spans="1:29" ht="13.5">
      <c r="A20" s="474">
        <v>10</v>
      </c>
      <c r="B20" s="474" t="str">
        <f>+B12</f>
        <v>May</v>
      </c>
      <c r="C20" s="610" t="str">
        <f>+C19</f>
        <v>Year 3</v>
      </c>
      <c r="D20" s="481" t="s">
        <v>270</v>
      </c>
      <c r="E20" s="475"/>
      <c r="F20" s="475"/>
      <c r="G20" s="475"/>
      <c r="H20" s="475"/>
      <c r="I20" s="475"/>
      <c r="J20" s="475"/>
      <c r="K20" s="475"/>
      <c r="L20" s="475"/>
      <c r="M20" s="475"/>
      <c r="N20" s="475"/>
      <c r="O20" s="475"/>
      <c r="P20" s="475"/>
      <c r="Q20" s="475"/>
      <c r="R20" s="475"/>
      <c r="S20" s="475"/>
      <c r="T20" s="475"/>
      <c r="U20" s="475"/>
      <c r="V20" s="475"/>
      <c r="W20" s="475"/>
      <c r="X20" s="475"/>
      <c r="Y20" s="475"/>
      <c r="Z20" s="475"/>
      <c r="AA20" s="475"/>
      <c r="AB20" s="475"/>
      <c r="AC20" s="476"/>
    </row>
    <row r="21" spans="1:29" ht="13.5">
      <c r="A21" s="474">
        <v>11</v>
      </c>
      <c r="B21" s="478" t="str">
        <f>+B13</f>
        <v>June</v>
      </c>
      <c r="C21" s="610" t="str">
        <f>+C20</f>
        <v>Year 3</v>
      </c>
      <c r="D21" s="481" t="s">
        <v>673</v>
      </c>
      <c r="E21" s="475"/>
      <c r="F21" s="475"/>
      <c r="G21" s="475"/>
      <c r="H21" s="475"/>
      <c r="I21" s="475"/>
      <c r="J21" s="475"/>
      <c r="K21" s="475"/>
      <c r="L21" s="475"/>
      <c r="M21" s="475"/>
      <c r="N21" s="475"/>
      <c r="O21" s="475"/>
      <c r="P21" s="475"/>
      <c r="Q21" s="475"/>
      <c r="R21" s="475"/>
      <c r="S21" s="475"/>
      <c r="T21" s="475"/>
      <c r="U21" s="475"/>
      <c r="V21" s="475"/>
      <c r="W21" s="475"/>
      <c r="X21" s="475"/>
      <c r="Y21" s="475"/>
      <c r="Z21" s="475"/>
      <c r="AA21" s="475"/>
      <c r="AB21" s="475"/>
      <c r="AC21" s="476"/>
    </row>
    <row r="22" spans="1:29" ht="13.5">
      <c r="A22" s="474"/>
      <c r="B22" s="478"/>
      <c r="C22" s="474"/>
      <c r="D22" s="481"/>
      <c r="E22" s="475"/>
      <c r="F22" s="475"/>
      <c r="G22" s="475"/>
      <c r="H22" s="475"/>
      <c r="I22" s="475"/>
      <c r="J22" s="475"/>
      <c r="K22" s="475"/>
      <c r="L22" s="475"/>
      <c r="M22" s="475"/>
      <c r="N22" s="475"/>
      <c r="O22" s="475"/>
      <c r="P22" s="475"/>
      <c r="Q22" s="475"/>
      <c r="R22" s="475"/>
      <c r="S22" s="475"/>
      <c r="T22" s="475"/>
      <c r="U22" s="475"/>
      <c r="V22" s="475"/>
      <c r="W22" s="475"/>
      <c r="X22" s="475"/>
      <c r="Y22" s="475"/>
      <c r="Z22" s="475"/>
      <c r="AA22" s="475"/>
      <c r="AB22" s="475"/>
      <c r="AC22" s="476"/>
    </row>
    <row r="23" spans="1:29" ht="13.5">
      <c r="A23" s="550"/>
      <c r="B23" s="551"/>
      <c r="C23" s="474"/>
      <c r="D23" s="479"/>
      <c r="E23" s="475"/>
      <c r="F23" s="475"/>
      <c r="G23" s="475"/>
      <c r="H23" s="475"/>
      <c r="I23" s="475"/>
      <c r="J23" s="475"/>
      <c r="K23" s="475"/>
      <c r="L23" s="475"/>
      <c r="M23" s="475"/>
      <c r="N23" s="475"/>
      <c r="O23" s="475"/>
      <c r="P23" s="475"/>
      <c r="Q23" s="475"/>
      <c r="R23" s="475"/>
      <c r="S23" s="475"/>
      <c r="T23" s="475"/>
      <c r="U23" s="475"/>
      <c r="V23" s="475"/>
      <c r="W23" s="475"/>
      <c r="X23" s="475"/>
      <c r="Y23" s="475"/>
      <c r="Z23" s="475"/>
      <c r="AA23" s="475"/>
      <c r="AB23" s="475"/>
      <c r="AC23" s="476"/>
    </row>
    <row r="24" spans="1:29" ht="13.5">
      <c r="A24" s="474">
        <f>+A9</f>
        <v>1</v>
      </c>
      <c r="B24" s="474" t="str">
        <f>+B9</f>
        <v>April</v>
      </c>
      <c r="C24" s="474" t="str">
        <f>+C9</f>
        <v>Year 2</v>
      </c>
      <c r="D24" s="475" t="str">
        <f>+D9</f>
        <v>TO populates the formula with Year 1 data from FERC Form 1 for Year 1 (e.g., 2004)</v>
      </c>
      <c r="E24" s="475"/>
      <c r="F24" s="475"/>
      <c r="G24" s="475"/>
      <c r="H24" s="475"/>
      <c r="I24" s="475"/>
      <c r="K24" s="475"/>
      <c r="L24" s="475"/>
      <c r="M24" s="475"/>
      <c r="N24" s="475"/>
      <c r="O24" s="475"/>
      <c r="P24" s="475"/>
      <c r="Q24" s="475"/>
      <c r="R24" s="475"/>
      <c r="S24" s="475"/>
      <c r="T24" s="475"/>
      <c r="U24" s="475"/>
      <c r="V24" s="475"/>
      <c r="W24" s="475"/>
      <c r="X24" s="475"/>
      <c r="Y24" s="475"/>
      <c r="Z24" s="475"/>
      <c r="AA24" s="475"/>
      <c r="AB24" s="475"/>
      <c r="AC24" s="476"/>
    </row>
    <row r="25" spans="1:29" ht="13.5">
      <c r="A25" s="474"/>
      <c r="B25" s="474"/>
      <c r="C25" s="474"/>
      <c r="D25" s="496">
        <v>174227146.49500096</v>
      </c>
      <c r="E25" s="475" t="s">
        <v>272</v>
      </c>
      <c r="F25" s="475"/>
      <c r="G25" s="582" t="s">
        <v>687</v>
      </c>
      <c r="H25" s="475"/>
      <c r="I25" s="475"/>
      <c r="J25" s="475"/>
      <c r="K25" s="475"/>
      <c r="L25" s="475"/>
      <c r="M25" s="475"/>
      <c r="N25" s="475"/>
      <c r="O25" s="475"/>
      <c r="P25" s="475"/>
      <c r="Q25" s="475"/>
      <c r="R25" s="475"/>
      <c r="S25" s="475"/>
      <c r="T25" s="475"/>
      <c r="U25" s="475"/>
      <c r="V25" s="475"/>
      <c r="W25" s="475"/>
      <c r="X25" s="475"/>
      <c r="Y25" s="475"/>
      <c r="Z25" s="475"/>
      <c r="AA25" s="475"/>
      <c r="AB25" s="475"/>
      <c r="AC25" s="476"/>
    </row>
    <row r="26" spans="1:29" ht="13.5">
      <c r="A26" s="474"/>
      <c r="B26" s="474"/>
      <c r="C26" s="474"/>
      <c r="D26" s="475"/>
      <c r="E26" s="475"/>
      <c r="F26" s="475"/>
      <c r="G26" s="475"/>
      <c r="H26" s="475"/>
      <c r="I26" s="475"/>
      <c r="J26" s="475"/>
      <c r="K26" s="475"/>
      <c r="L26" s="475"/>
      <c r="M26" s="475"/>
      <c r="N26" s="475"/>
      <c r="O26" s="475"/>
      <c r="P26" s="475"/>
      <c r="Q26" s="475"/>
      <c r="R26" s="475"/>
      <c r="S26" s="475"/>
      <c r="T26" s="475"/>
      <c r="U26" s="475"/>
      <c r="V26" s="475"/>
      <c r="W26" s="475"/>
      <c r="X26" s="475"/>
      <c r="Y26" s="475"/>
      <c r="Z26" s="475"/>
      <c r="AA26" s="475"/>
      <c r="AB26" s="475"/>
      <c r="AC26" s="476"/>
    </row>
    <row r="27" spans="1:29" ht="13.5">
      <c r="A27" s="474">
        <v>2</v>
      </c>
      <c r="B27" s="474" t="str">
        <f>+B24</f>
        <v>April</v>
      </c>
      <c r="C27" s="474" t="str">
        <f>+C24</f>
        <v>Year 2</v>
      </c>
      <c r="D27" s="481" t="str">
        <f>+D10</f>
        <v>TO estimates all transmission Cap Adds for Year 2 weighted based on Months expected to be in service in Year 2 (e.g, 2005)</v>
      </c>
      <c r="E27" s="475"/>
      <c r="F27" s="475"/>
      <c r="G27" s="475"/>
      <c r="H27" s="475"/>
      <c r="I27" s="475"/>
      <c r="K27" s="475"/>
      <c r="L27" s="475"/>
      <c r="M27" s="475"/>
      <c r="N27" s="475"/>
      <c r="O27" s="475"/>
      <c r="P27" s="475"/>
      <c r="Q27" s="475"/>
      <c r="R27" s="475"/>
      <c r="S27" s="475"/>
      <c r="T27" s="475"/>
      <c r="U27" s="475"/>
      <c r="V27" s="475"/>
      <c r="W27" s="475"/>
      <c r="X27" s="475"/>
      <c r="Y27" s="475"/>
      <c r="Z27" s="475"/>
      <c r="AA27" s="475"/>
      <c r="AB27" s="475"/>
      <c r="AC27" s="476"/>
    </row>
    <row r="28" spans="1:29" ht="13.5">
      <c r="A28" s="474"/>
      <c r="B28" s="474"/>
      <c r="C28" s="474"/>
      <c r="D28" s="475"/>
      <c r="E28" s="474" t="s">
        <v>639</v>
      </c>
      <c r="F28" s="474" t="s">
        <v>586</v>
      </c>
      <c r="G28" s="474" t="s">
        <v>448</v>
      </c>
      <c r="H28" s="474" t="s">
        <v>587</v>
      </c>
      <c r="I28" s="475"/>
      <c r="J28" s="475"/>
      <c r="K28" s="475"/>
      <c r="L28" s="475"/>
      <c r="M28" s="475"/>
      <c r="N28" s="475"/>
      <c r="O28" s="475"/>
      <c r="P28" s="475"/>
      <c r="Q28" s="475"/>
      <c r="R28" s="475"/>
      <c r="S28" s="475"/>
      <c r="T28" s="475"/>
      <c r="U28" s="475"/>
      <c r="V28" s="475"/>
      <c r="W28" s="475"/>
      <c r="X28" s="475"/>
      <c r="Y28" s="475"/>
      <c r="Z28" s="475"/>
      <c r="AA28" s="475"/>
      <c r="AB28" s="475"/>
      <c r="AC28" s="476"/>
    </row>
    <row r="29" spans="1:29" ht="13.5">
      <c r="A29" s="474"/>
      <c r="B29" s="474"/>
      <c r="C29" s="474"/>
      <c r="D29" s="475" t="s">
        <v>588</v>
      </c>
      <c r="E29" s="523">
        <v>4716608.629999999</v>
      </c>
      <c r="F29" s="475">
        <v>11.5</v>
      </c>
      <c r="G29" s="483">
        <f t="shared" ref="G29:G40" si="0">+F29*E29</f>
        <v>54240999.24499999</v>
      </c>
      <c r="H29" s="479">
        <f t="shared" ref="H29:H40" si="1">+G29/12</f>
        <v>4520083.2704166658</v>
      </c>
      <c r="I29" s="475"/>
      <c r="J29" s="475"/>
      <c r="K29" s="475"/>
      <c r="L29" s="475"/>
      <c r="M29" s="475"/>
      <c r="N29" s="475"/>
      <c r="O29" s="475"/>
      <c r="P29" s="475"/>
      <c r="Q29" s="475"/>
      <c r="R29" s="475"/>
      <c r="S29" s="475"/>
      <c r="T29" s="475"/>
      <c r="U29" s="475"/>
      <c r="V29" s="475"/>
      <c r="W29" s="475"/>
      <c r="X29" s="475"/>
      <c r="Y29" s="475"/>
      <c r="Z29" s="475"/>
      <c r="AA29" s="475"/>
      <c r="AB29" s="475"/>
      <c r="AC29" s="476"/>
    </row>
    <row r="30" spans="1:29" ht="13.5">
      <c r="A30" s="474"/>
      <c r="B30" s="474"/>
      <c r="C30" s="474"/>
      <c r="D30" s="475" t="s">
        <v>589</v>
      </c>
      <c r="E30" s="523">
        <v>3220501.6700000074</v>
      </c>
      <c r="F30" s="475">
        <f t="shared" ref="F30:F40" si="2">+F29-1</f>
        <v>10.5</v>
      </c>
      <c r="G30" s="483">
        <f t="shared" si="0"/>
        <v>33815267.535000078</v>
      </c>
      <c r="H30" s="479">
        <f t="shared" si="1"/>
        <v>2817938.9612500067</v>
      </c>
      <c r="I30" s="475"/>
      <c r="J30" s="475"/>
      <c r="K30" s="475"/>
      <c r="L30" s="475"/>
      <c r="M30" s="475"/>
      <c r="N30" s="475"/>
      <c r="O30" s="475"/>
      <c r="P30" s="475"/>
      <c r="Q30" s="475"/>
      <c r="R30" s="475"/>
      <c r="S30" s="475"/>
      <c r="T30" s="475"/>
      <c r="U30" s="475"/>
      <c r="V30" s="475"/>
      <c r="W30" s="475"/>
      <c r="X30" s="475"/>
      <c r="Y30" s="475"/>
      <c r="Z30" s="475"/>
      <c r="AA30" s="475"/>
      <c r="AB30" s="475"/>
      <c r="AC30" s="476"/>
    </row>
    <row r="31" spans="1:29" ht="13.5">
      <c r="A31" s="474"/>
      <c r="B31" s="474"/>
      <c r="C31" s="474"/>
      <c r="D31" s="475" t="s">
        <v>590</v>
      </c>
      <c r="E31" s="523">
        <v>1925823.7399999984</v>
      </c>
      <c r="F31" s="475">
        <f t="shared" si="2"/>
        <v>9.5</v>
      </c>
      <c r="G31" s="483">
        <f t="shared" si="0"/>
        <v>18295325.529999986</v>
      </c>
      <c r="H31" s="479">
        <f t="shared" si="1"/>
        <v>1524610.4608333323</v>
      </c>
      <c r="I31" s="475"/>
      <c r="J31" s="475"/>
      <c r="K31" s="475"/>
      <c r="L31" s="475"/>
      <c r="M31" s="475"/>
      <c r="N31" s="475"/>
      <c r="O31" s="475"/>
      <c r="P31" s="475"/>
      <c r="Q31" s="475"/>
      <c r="R31" s="475"/>
      <c r="S31" s="475"/>
      <c r="T31" s="475"/>
      <c r="U31" s="475"/>
      <c r="V31" s="475"/>
      <c r="W31" s="475"/>
      <c r="X31" s="475"/>
      <c r="Y31" s="475"/>
      <c r="Z31" s="475"/>
      <c r="AA31" s="475"/>
      <c r="AB31" s="475"/>
      <c r="AC31" s="476"/>
    </row>
    <row r="32" spans="1:29" ht="13.5">
      <c r="A32" s="474"/>
      <c r="B32" s="474"/>
      <c r="C32" s="474"/>
      <c r="D32" s="475" t="s">
        <v>591</v>
      </c>
      <c r="E32" s="523">
        <v>9634491.3999999948</v>
      </c>
      <c r="F32" s="475">
        <f t="shared" si="2"/>
        <v>8.5</v>
      </c>
      <c r="G32" s="483">
        <f t="shared" si="0"/>
        <v>81893176.899999961</v>
      </c>
      <c r="H32" s="479">
        <f t="shared" si="1"/>
        <v>6824431.4083333304</v>
      </c>
      <c r="I32" s="475"/>
      <c r="J32" s="475"/>
      <c r="K32" s="475"/>
      <c r="L32" s="475"/>
      <c r="M32" s="475"/>
      <c r="N32" s="475"/>
      <c r="O32" s="475"/>
      <c r="P32" s="475"/>
      <c r="Q32" s="475"/>
      <c r="R32" s="475"/>
      <c r="S32" s="475"/>
      <c r="T32" s="475"/>
      <c r="U32" s="475"/>
      <c r="V32" s="475"/>
      <c r="W32" s="475"/>
      <c r="X32" s="475"/>
      <c r="Y32" s="475"/>
      <c r="Z32" s="475"/>
      <c r="AA32" s="475"/>
      <c r="AB32" s="475"/>
      <c r="AC32" s="476"/>
    </row>
    <row r="33" spans="1:29" ht="13.5">
      <c r="A33" s="474"/>
      <c r="B33" s="474"/>
      <c r="C33" s="474"/>
      <c r="D33" s="475" t="s">
        <v>584</v>
      </c>
      <c r="E33" s="523">
        <v>6904659.9600000009</v>
      </c>
      <c r="F33" s="475">
        <f t="shared" si="2"/>
        <v>7.5</v>
      </c>
      <c r="G33" s="483">
        <f t="shared" si="0"/>
        <v>51784949.700000003</v>
      </c>
      <c r="H33" s="479">
        <f t="shared" si="1"/>
        <v>4315412.4750000006</v>
      </c>
      <c r="I33" s="475"/>
      <c r="J33" s="475"/>
      <c r="K33" s="475"/>
      <c r="L33" s="475"/>
      <c r="M33" s="475"/>
      <c r="N33" s="475"/>
      <c r="O33" s="475"/>
      <c r="P33" s="475"/>
      <c r="Q33" s="475"/>
      <c r="R33" s="475"/>
      <c r="S33" s="475"/>
      <c r="T33" s="475"/>
      <c r="U33" s="475"/>
      <c r="V33" s="475"/>
      <c r="W33" s="475"/>
      <c r="X33" s="475"/>
      <c r="Y33" s="475"/>
      <c r="Z33" s="475"/>
      <c r="AA33" s="475"/>
      <c r="AB33" s="475"/>
      <c r="AC33" s="476"/>
    </row>
    <row r="34" spans="1:29" ht="13.5">
      <c r="A34" s="474"/>
      <c r="B34" s="474"/>
      <c r="C34" s="474"/>
      <c r="D34" s="475" t="s">
        <v>592</v>
      </c>
      <c r="E34" s="523">
        <v>1296459.7500000042</v>
      </c>
      <c r="F34" s="475">
        <f t="shared" si="2"/>
        <v>6.5</v>
      </c>
      <c r="G34" s="483">
        <f t="shared" si="0"/>
        <v>8426988.3750000279</v>
      </c>
      <c r="H34" s="479">
        <f t="shared" si="1"/>
        <v>702249.03125000233</v>
      </c>
      <c r="I34" s="475"/>
      <c r="J34" s="475"/>
      <c r="K34" s="475"/>
      <c r="L34" s="475"/>
      <c r="M34" s="475"/>
      <c r="N34" s="475"/>
      <c r="O34" s="475"/>
      <c r="P34" s="475"/>
      <c r="Q34" s="475"/>
      <c r="R34" s="475"/>
      <c r="S34" s="475"/>
      <c r="T34" s="475"/>
      <c r="U34" s="475"/>
      <c r="V34" s="475"/>
      <c r="W34" s="475"/>
      <c r="X34" s="475"/>
      <c r="Y34" s="475"/>
      <c r="Z34" s="475"/>
      <c r="AA34" s="475"/>
      <c r="AB34" s="475"/>
      <c r="AC34" s="476"/>
    </row>
    <row r="35" spans="1:29" ht="13.5">
      <c r="A35" s="474"/>
      <c r="B35" s="474"/>
      <c r="C35" s="474"/>
      <c r="D35" s="475" t="s">
        <v>593</v>
      </c>
      <c r="E35" s="523">
        <v>5527255.9700000063</v>
      </c>
      <c r="F35" s="475">
        <f t="shared" si="2"/>
        <v>5.5</v>
      </c>
      <c r="G35" s="483">
        <f t="shared" si="0"/>
        <v>30399907.835000034</v>
      </c>
      <c r="H35" s="479">
        <f t="shared" si="1"/>
        <v>2533325.6529166694</v>
      </c>
      <c r="I35" s="475"/>
      <c r="J35" s="475"/>
      <c r="K35" s="475"/>
      <c r="L35" s="475"/>
      <c r="M35" s="475"/>
      <c r="N35" s="475"/>
      <c r="O35" s="475"/>
      <c r="P35" s="475"/>
      <c r="Q35" s="475"/>
      <c r="R35" s="475"/>
      <c r="S35" s="475"/>
      <c r="T35" s="475"/>
      <c r="U35" s="475"/>
      <c r="V35" s="475"/>
      <c r="W35" s="475"/>
      <c r="X35" s="475"/>
      <c r="Y35" s="475"/>
      <c r="Z35" s="475"/>
      <c r="AA35" s="475"/>
      <c r="AB35" s="475"/>
      <c r="AC35" s="476"/>
    </row>
    <row r="36" spans="1:29" ht="13.5">
      <c r="A36" s="474"/>
      <c r="B36" s="474"/>
      <c r="C36" s="474"/>
      <c r="D36" s="475" t="s">
        <v>594</v>
      </c>
      <c r="E36" s="523">
        <v>3259629.4700000025</v>
      </c>
      <c r="F36" s="475">
        <f t="shared" si="2"/>
        <v>4.5</v>
      </c>
      <c r="G36" s="483">
        <f t="shared" si="0"/>
        <v>14668332.615000011</v>
      </c>
      <c r="H36" s="479">
        <f t="shared" si="1"/>
        <v>1222361.0512500009</v>
      </c>
      <c r="I36" s="475"/>
      <c r="J36" s="475"/>
      <c r="K36" s="475"/>
      <c r="L36" s="475"/>
      <c r="M36" s="475"/>
      <c r="N36" s="475"/>
      <c r="O36" s="475"/>
      <c r="P36" s="475"/>
      <c r="Q36" s="475"/>
      <c r="R36" s="475"/>
      <c r="S36" s="475"/>
      <c r="T36" s="475"/>
      <c r="U36" s="475"/>
      <c r="V36" s="475"/>
      <c r="W36" s="475"/>
      <c r="X36" s="475"/>
      <c r="Y36" s="475"/>
      <c r="Z36" s="475"/>
      <c r="AA36" s="475"/>
      <c r="AB36" s="475"/>
      <c r="AC36" s="476"/>
    </row>
    <row r="37" spans="1:29" ht="13.5">
      <c r="A37" s="474"/>
      <c r="B37" s="474"/>
      <c r="C37" s="474"/>
      <c r="D37" s="475" t="s">
        <v>595</v>
      </c>
      <c r="E37" s="523">
        <v>-701472.12999998778</v>
      </c>
      <c r="F37" s="475">
        <f t="shared" si="2"/>
        <v>3.5</v>
      </c>
      <c r="G37" s="483">
        <f t="shared" si="0"/>
        <v>-2455152.4549999572</v>
      </c>
      <c r="H37" s="479">
        <f t="shared" si="1"/>
        <v>-204596.0379166631</v>
      </c>
      <c r="I37" s="475"/>
      <c r="J37" s="475"/>
      <c r="K37" s="475"/>
      <c r="L37" s="475"/>
      <c r="M37" s="475"/>
      <c r="N37" s="475"/>
      <c r="O37" s="475"/>
      <c r="P37" s="475"/>
      <c r="Q37" s="475"/>
      <c r="R37" s="475"/>
      <c r="S37" s="475"/>
      <c r="T37" s="475"/>
      <c r="U37" s="475"/>
      <c r="V37" s="475"/>
      <c r="W37" s="475"/>
      <c r="X37" s="475"/>
      <c r="Y37" s="475"/>
      <c r="Z37" s="475"/>
      <c r="AA37" s="475"/>
      <c r="AB37" s="475"/>
      <c r="AC37" s="476"/>
    </row>
    <row r="38" spans="1:29" ht="13.5">
      <c r="A38" s="474"/>
      <c r="B38" s="474"/>
      <c r="C38" s="474"/>
      <c r="D38" s="475" t="s">
        <v>596</v>
      </c>
      <c r="E38" s="523">
        <v>9068955.9600000046</v>
      </c>
      <c r="F38" s="475">
        <f t="shared" si="2"/>
        <v>2.5</v>
      </c>
      <c r="G38" s="483">
        <f t="shared" si="0"/>
        <v>22672389.900000013</v>
      </c>
      <c r="H38" s="479">
        <f t="shared" si="1"/>
        <v>1889365.8250000011</v>
      </c>
      <c r="I38" s="475"/>
      <c r="J38" s="475"/>
      <c r="K38" s="475"/>
      <c r="L38" s="475"/>
      <c r="M38" s="475"/>
      <c r="N38" s="475"/>
      <c r="O38" s="475"/>
      <c r="P38" s="475"/>
      <c r="Q38" s="475"/>
      <c r="R38" s="475"/>
      <c r="S38" s="475"/>
      <c r="T38" s="475"/>
      <c r="U38" s="475"/>
      <c r="V38" s="475"/>
      <c r="W38" s="475"/>
      <c r="X38" s="475"/>
      <c r="Y38" s="475"/>
      <c r="Z38" s="475"/>
      <c r="AA38" s="475"/>
      <c r="AB38" s="475"/>
      <c r="AC38" s="476"/>
    </row>
    <row r="39" spans="1:29" ht="13.5">
      <c r="A39" s="474"/>
      <c r="B39" s="474"/>
      <c r="C39" s="474"/>
      <c r="D39" s="475" t="s">
        <v>597</v>
      </c>
      <c r="E39" s="523">
        <v>3784043.9100000039</v>
      </c>
      <c r="F39" s="475">
        <f t="shared" si="2"/>
        <v>1.5</v>
      </c>
      <c r="G39" s="483">
        <f t="shared" si="0"/>
        <v>5676065.8650000058</v>
      </c>
      <c r="H39" s="479">
        <f t="shared" si="1"/>
        <v>473005.48875000048</v>
      </c>
      <c r="I39" s="475"/>
      <c r="J39" s="475"/>
      <c r="K39" s="475"/>
      <c r="L39" s="475"/>
      <c r="M39" s="475"/>
      <c r="N39" s="475"/>
      <c r="O39" s="475"/>
      <c r="P39" s="475"/>
      <c r="Q39" s="475"/>
      <c r="R39" s="475"/>
      <c r="S39" s="475"/>
      <c r="T39" s="475"/>
      <c r="U39" s="475"/>
      <c r="V39" s="475"/>
      <c r="W39" s="475"/>
      <c r="X39" s="475"/>
      <c r="Y39" s="475"/>
      <c r="Z39" s="475"/>
      <c r="AA39" s="475"/>
      <c r="AB39" s="475"/>
      <c r="AC39" s="476"/>
    </row>
    <row r="40" spans="1:29" ht="13.5">
      <c r="A40" s="474"/>
      <c r="B40" s="474"/>
      <c r="C40" s="474"/>
      <c r="D40" s="475" t="s">
        <v>598</v>
      </c>
      <c r="E40" s="523">
        <v>15078503.34</v>
      </c>
      <c r="F40" s="475">
        <f t="shared" si="2"/>
        <v>0.5</v>
      </c>
      <c r="G40" s="483">
        <f t="shared" si="0"/>
        <v>7539251.6699999999</v>
      </c>
      <c r="H40" s="479">
        <f t="shared" si="1"/>
        <v>628270.97250000003</v>
      </c>
      <c r="I40" s="475"/>
      <c r="J40" s="475"/>
      <c r="K40" s="475"/>
      <c r="L40" s="475"/>
      <c r="M40" s="475"/>
      <c r="N40" s="475"/>
      <c r="O40" s="475"/>
      <c r="P40" s="475"/>
      <c r="Q40" s="475"/>
      <c r="R40" s="475"/>
      <c r="S40" s="475"/>
      <c r="T40" s="475"/>
      <c r="U40" s="475"/>
      <c r="V40" s="475"/>
      <c r="W40" s="475"/>
      <c r="X40" s="475"/>
      <c r="Y40" s="475"/>
      <c r="Z40" s="475"/>
      <c r="AA40" s="475"/>
      <c r="AB40" s="475"/>
      <c r="AC40" s="476"/>
    </row>
    <row r="41" spans="1:29" ht="13.5">
      <c r="A41" s="474"/>
      <c r="B41" s="474"/>
      <c r="C41" s="474"/>
      <c r="D41" s="475" t="s">
        <v>340</v>
      </c>
      <c r="E41" s="483">
        <f>SUM(E29:E40)</f>
        <v>63715461.670000032</v>
      </c>
      <c r="F41" s="475"/>
      <c r="G41" s="483">
        <f>SUM(G29:G40)</f>
        <v>326957502.71500015</v>
      </c>
      <c r="H41" s="479">
        <f>SUM(H29:H40)</f>
        <v>27246458.559583344</v>
      </c>
      <c r="I41" s="475"/>
      <c r="J41" s="475"/>
      <c r="K41" s="475"/>
      <c r="L41" s="475"/>
      <c r="M41" s="475"/>
      <c r="N41" s="475"/>
      <c r="O41" s="475"/>
      <c r="P41" s="475"/>
      <c r="Q41" s="475"/>
      <c r="R41" s="475"/>
      <c r="S41" s="475"/>
      <c r="T41" s="475"/>
      <c r="U41" s="475"/>
      <c r="V41" s="475"/>
      <c r="W41" s="475"/>
      <c r="X41" s="475"/>
      <c r="Y41" s="475"/>
      <c r="Z41" s="475"/>
      <c r="AA41" s="475"/>
      <c r="AB41" s="475"/>
      <c r="AC41" s="476"/>
    </row>
    <row r="42" spans="1:29" ht="13.5">
      <c r="A42" s="474"/>
      <c r="B42" s="474"/>
      <c r="D42" s="475" t="s">
        <v>273</v>
      </c>
      <c r="E42" s="475"/>
      <c r="F42" s="475"/>
      <c r="G42" s="475"/>
      <c r="H42" s="494">
        <f>+H41</f>
        <v>27246458.559583344</v>
      </c>
      <c r="J42" s="475"/>
      <c r="K42" s="475"/>
      <c r="L42" s="475"/>
      <c r="M42" s="475"/>
      <c r="N42" s="475"/>
      <c r="O42" s="475"/>
      <c r="P42" s="475"/>
      <c r="Q42" s="475"/>
      <c r="R42" s="475"/>
      <c r="S42" s="475"/>
      <c r="T42" s="475"/>
      <c r="U42" s="475"/>
      <c r="V42" s="475"/>
      <c r="W42" s="475"/>
      <c r="X42" s="475"/>
      <c r="Y42" s="475"/>
      <c r="Z42" s="475"/>
      <c r="AA42" s="475"/>
      <c r="AB42" s="475"/>
      <c r="AC42" s="476"/>
    </row>
    <row r="43" spans="1:29" ht="13.5">
      <c r="A43" s="474"/>
      <c r="B43" s="474"/>
      <c r="C43" s="475"/>
      <c r="E43" s="475"/>
      <c r="F43" s="475"/>
      <c r="G43" s="475"/>
      <c r="H43" s="483"/>
      <c r="I43" s="475"/>
      <c r="J43" s="475"/>
      <c r="K43" s="475"/>
      <c r="L43" s="475"/>
      <c r="M43" s="475"/>
      <c r="N43" s="475"/>
      <c r="O43" s="475"/>
      <c r="P43" s="475"/>
      <c r="Q43" s="475"/>
      <c r="R43" s="475"/>
      <c r="S43" s="475"/>
      <c r="T43" s="475"/>
      <c r="U43" s="475"/>
      <c r="V43" s="475"/>
      <c r="W43" s="475"/>
      <c r="X43" s="475"/>
      <c r="Y43" s="475"/>
      <c r="Z43" s="475"/>
      <c r="AA43" s="475"/>
      <c r="AB43" s="475"/>
      <c r="AC43" s="476"/>
    </row>
    <row r="44" spans="1:29" ht="13.5">
      <c r="A44" s="474"/>
      <c r="B44" s="474"/>
      <c r="C44" s="474"/>
      <c r="D44" s="475"/>
      <c r="E44" s="475"/>
      <c r="F44" s="475"/>
      <c r="G44" s="475"/>
      <c r="H44" s="483"/>
      <c r="I44" s="475"/>
      <c r="J44" s="475"/>
      <c r="K44" s="475"/>
      <c r="L44" s="475"/>
      <c r="M44" s="475"/>
      <c r="N44" s="475"/>
      <c r="O44" s="475"/>
      <c r="P44" s="475"/>
      <c r="Q44" s="475"/>
      <c r="R44" s="475"/>
      <c r="S44" s="475"/>
      <c r="T44" s="475"/>
      <c r="U44" s="475"/>
      <c r="V44" s="475"/>
      <c r="W44" s="475"/>
      <c r="X44" s="475"/>
      <c r="Y44" s="475"/>
      <c r="Z44" s="475"/>
      <c r="AA44" s="475"/>
      <c r="AB44" s="475"/>
      <c r="AC44" s="476"/>
    </row>
    <row r="45" spans="1:29" ht="13.5">
      <c r="A45" s="474">
        <v>3</v>
      </c>
      <c r="B45" s="474" t="str">
        <f>+B27</f>
        <v>April</v>
      </c>
      <c r="C45" s="474" t="str">
        <f>+C27</f>
        <v>Year 2</v>
      </c>
      <c r="D45" s="481" t="str">
        <f>+D11</f>
        <v>TO adds weighted Cap Adds to plant in service in Formula</v>
      </c>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6"/>
    </row>
    <row r="46" spans="1:29" ht="13.5">
      <c r="A46" s="474"/>
      <c r="B46" s="474"/>
      <c r="C46" s="474"/>
      <c r="D46" s="485">
        <f>+H42</f>
        <v>27246458.559583344</v>
      </c>
      <c r="E46" s="475" t="str">
        <f>"Input to Formula Line "&amp;'ATT H-2A'!A42</f>
        <v>Input to Formula Line 21</v>
      </c>
      <c r="F46" s="483"/>
      <c r="G46" s="474"/>
      <c r="H46" s="483"/>
      <c r="I46" s="475"/>
      <c r="J46" s="475"/>
      <c r="K46" s="475"/>
      <c r="L46" s="475"/>
      <c r="M46" s="475"/>
      <c r="N46" s="475"/>
      <c r="O46" s="475"/>
      <c r="P46" s="475"/>
      <c r="Q46" s="475"/>
      <c r="R46" s="475"/>
      <c r="S46" s="475"/>
      <c r="T46" s="475"/>
      <c r="U46" s="475"/>
      <c r="V46" s="475"/>
      <c r="W46" s="475"/>
      <c r="X46" s="475"/>
      <c r="Y46" s="475"/>
      <c r="Z46" s="475"/>
      <c r="AA46" s="475"/>
      <c r="AB46" s="475"/>
      <c r="AC46" s="476"/>
    </row>
    <row r="47" spans="1:29" ht="13.5">
      <c r="A47" s="474"/>
      <c r="B47" s="474"/>
      <c r="C47" s="474"/>
      <c r="D47" s="485"/>
      <c r="E47" s="474"/>
      <c r="F47" s="483"/>
      <c r="G47" s="474"/>
      <c r="H47" s="483"/>
      <c r="I47" s="475"/>
      <c r="J47" s="475"/>
      <c r="K47" s="475"/>
      <c r="L47" s="475"/>
      <c r="M47" s="475"/>
      <c r="N47" s="475"/>
      <c r="O47" s="475"/>
      <c r="P47" s="475"/>
      <c r="Q47" s="475"/>
      <c r="R47" s="475"/>
      <c r="S47" s="475"/>
      <c r="T47" s="475"/>
      <c r="U47" s="475"/>
      <c r="V47" s="475"/>
      <c r="W47" s="475"/>
      <c r="X47" s="475"/>
      <c r="Y47" s="475"/>
      <c r="Z47" s="475"/>
      <c r="AA47" s="475"/>
      <c r="AB47" s="475"/>
      <c r="AC47" s="476"/>
    </row>
    <row r="48" spans="1:29" ht="13.5">
      <c r="A48" s="474">
        <v>4</v>
      </c>
      <c r="B48" s="474" t="str">
        <f>+B12</f>
        <v>May</v>
      </c>
      <c r="C48" s="474" t="str">
        <f>+C45</f>
        <v>Year 2</v>
      </c>
      <c r="D48" s="475" t="s">
        <v>599</v>
      </c>
      <c r="E48" s="475"/>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6"/>
    </row>
    <row r="49" spans="1:29" ht="13.5">
      <c r="A49" s="474"/>
      <c r="B49" s="474"/>
      <c r="C49" s="474"/>
      <c r="D49" s="583">
        <v>177319887.02903143</v>
      </c>
      <c r="F49" s="485"/>
      <c r="G49" s="582" t="s">
        <v>686</v>
      </c>
      <c r="H49" s="475"/>
      <c r="I49" s="475"/>
      <c r="J49" s="475"/>
      <c r="K49" s="475"/>
      <c r="L49" s="475"/>
      <c r="M49" s="475"/>
      <c r="N49" s="475"/>
      <c r="O49" s="475"/>
      <c r="P49" s="475"/>
      <c r="Q49" s="475"/>
      <c r="R49" s="475"/>
      <c r="S49" s="475"/>
      <c r="T49" s="475"/>
      <c r="U49" s="475"/>
      <c r="V49" s="475"/>
      <c r="W49" s="475"/>
      <c r="X49" s="475"/>
      <c r="Y49" s="475"/>
      <c r="Z49" s="475"/>
      <c r="AA49" s="475"/>
      <c r="AB49" s="475"/>
      <c r="AC49" s="476"/>
    </row>
    <row r="50" spans="1:29" ht="13.5">
      <c r="A50" s="474"/>
      <c r="B50" s="474"/>
      <c r="C50" s="474"/>
      <c r="D50" s="480"/>
      <c r="E50" s="475"/>
      <c r="F50" s="475"/>
      <c r="G50" s="475"/>
      <c r="H50" s="475"/>
      <c r="I50" s="475"/>
      <c r="J50" s="475"/>
      <c r="K50" s="475"/>
      <c r="L50" s="475"/>
      <c r="M50" s="475"/>
      <c r="N50" s="475"/>
      <c r="O50" s="475"/>
      <c r="P50" s="475"/>
      <c r="Q50" s="475"/>
      <c r="R50" s="475"/>
      <c r="S50" s="475"/>
      <c r="T50" s="475"/>
      <c r="U50" s="475"/>
      <c r="V50" s="475"/>
      <c r="W50" s="475"/>
      <c r="X50" s="475"/>
      <c r="Y50" s="475"/>
      <c r="Z50" s="475"/>
      <c r="AA50" s="475"/>
      <c r="AB50" s="475"/>
      <c r="AC50" s="476"/>
    </row>
    <row r="51" spans="1:29" ht="13.5">
      <c r="A51" s="474">
        <f>+A13</f>
        <v>5</v>
      </c>
      <c r="B51" s="474" t="str">
        <f>+B13</f>
        <v>June</v>
      </c>
      <c r="C51" s="474" t="str">
        <f>+C13</f>
        <v>Year 2</v>
      </c>
      <c r="D51" s="611" t="str">
        <f>+D13</f>
        <v>Results of Step 3 go into effect for the Rate Year 1 (e.g., June 1, 2005 - May 31, 2006)</v>
      </c>
      <c r="E51" s="475"/>
      <c r="F51" s="475"/>
      <c r="G51" s="475"/>
      <c r="H51" s="475"/>
      <c r="I51" s="475"/>
      <c r="J51" s="475"/>
      <c r="K51" s="475"/>
      <c r="L51" s="475"/>
      <c r="M51" s="475"/>
      <c r="N51" s="475"/>
      <c r="O51" s="475"/>
      <c r="P51" s="475"/>
      <c r="Q51" s="475"/>
      <c r="R51" s="475"/>
      <c r="S51" s="475"/>
      <c r="T51" s="475"/>
      <c r="U51" s="475"/>
      <c r="V51" s="475"/>
      <c r="W51" s="475"/>
      <c r="X51" s="475"/>
      <c r="Y51" s="475"/>
      <c r="Z51" s="475"/>
      <c r="AA51" s="475"/>
      <c r="AB51" s="475"/>
      <c r="AC51" s="476"/>
    </row>
    <row r="52" spans="1:29" ht="13.5">
      <c r="A52" s="474"/>
      <c r="B52" s="474"/>
      <c r="C52" s="474"/>
      <c r="D52" s="485">
        <f>+D49</f>
        <v>177319887.02903143</v>
      </c>
      <c r="E52" s="475"/>
      <c r="F52" s="475"/>
      <c r="G52" s="475"/>
      <c r="H52" s="475"/>
      <c r="I52" s="475"/>
      <c r="J52" s="475"/>
      <c r="K52" s="475"/>
      <c r="L52" s="475"/>
      <c r="M52" s="475"/>
      <c r="N52" s="475"/>
      <c r="O52" s="475"/>
      <c r="P52" s="475"/>
      <c r="Q52" s="475"/>
      <c r="R52" s="475"/>
      <c r="S52" s="475"/>
      <c r="T52" s="475"/>
      <c r="U52" s="475"/>
      <c r="V52" s="475"/>
      <c r="W52" s="475"/>
      <c r="X52" s="475"/>
      <c r="Y52" s="475"/>
      <c r="Z52" s="475"/>
      <c r="AA52" s="475"/>
      <c r="AB52" s="475"/>
      <c r="AC52" s="476"/>
    </row>
    <row r="53" spans="1:29" ht="13.5">
      <c r="A53" s="501"/>
      <c r="B53" s="501"/>
      <c r="C53" s="501"/>
      <c r="D53" s="502"/>
      <c r="E53" s="502"/>
      <c r="F53" s="502"/>
      <c r="G53" s="502"/>
      <c r="H53" s="502"/>
      <c r="I53" s="502"/>
      <c r="J53" s="502"/>
      <c r="K53" s="502"/>
      <c r="L53" s="475"/>
      <c r="M53" s="475"/>
      <c r="N53" s="475"/>
      <c r="O53" s="475"/>
      <c r="P53" s="475"/>
      <c r="Q53" s="475"/>
      <c r="R53" s="475"/>
      <c r="S53" s="475"/>
      <c r="T53" s="475"/>
      <c r="U53" s="475"/>
      <c r="V53" s="475"/>
      <c r="W53" s="475"/>
      <c r="X53" s="475"/>
      <c r="Y53" s="475"/>
      <c r="Z53" s="475"/>
      <c r="AA53" s="475"/>
      <c r="AB53" s="475"/>
      <c r="AC53" s="476"/>
    </row>
    <row r="54" spans="1:29" ht="15.75">
      <c r="A54" s="501"/>
      <c r="B54" s="501"/>
      <c r="C54" s="501"/>
      <c r="D54" s="502"/>
      <c r="E54" s="502"/>
      <c r="F54" s="502"/>
      <c r="G54" s="502"/>
      <c r="H54" s="502"/>
      <c r="I54" s="502"/>
      <c r="J54" s="318"/>
      <c r="K54" s="502"/>
      <c r="L54" s="475"/>
      <c r="M54" s="475"/>
      <c r="N54" s="475"/>
      <c r="O54" s="475"/>
      <c r="P54" s="475"/>
      <c r="Q54" s="475"/>
      <c r="R54" s="475"/>
      <c r="S54" s="475"/>
      <c r="T54" s="475"/>
      <c r="U54" s="475"/>
      <c r="V54" s="475"/>
      <c r="W54" s="475"/>
      <c r="X54" s="475"/>
      <c r="Y54" s="475"/>
      <c r="Z54" s="475"/>
      <c r="AA54" s="475"/>
      <c r="AB54" s="475"/>
      <c r="AC54" s="476"/>
    </row>
    <row r="55" spans="1:29" ht="15.75">
      <c r="A55" s="501"/>
      <c r="B55" s="501"/>
      <c r="C55" s="501"/>
      <c r="D55" s="502"/>
      <c r="E55" s="502"/>
      <c r="F55" s="502"/>
      <c r="G55" s="502"/>
      <c r="H55" s="502"/>
      <c r="I55" s="502"/>
      <c r="J55" s="318"/>
      <c r="K55" s="502"/>
      <c r="L55" s="475"/>
      <c r="M55" s="475"/>
      <c r="N55" s="475"/>
      <c r="O55" s="475"/>
      <c r="P55" s="475"/>
      <c r="Q55" s="475"/>
      <c r="R55" s="475"/>
      <c r="S55" s="475"/>
      <c r="T55" s="475"/>
      <c r="U55" s="475"/>
      <c r="V55" s="475"/>
      <c r="W55" s="475"/>
      <c r="X55" s="475"/>
      <c r="Y55" s="475"/>
      <c r="Z55" s="475"/>
      <c r="AA55" s="475"/>
      <c r="AB55" s="475"/>
      <c r="AC55" s="476"/>
    </row>
    <row r="56" spans="1:29" ht="13.5">
      <c r="A56" s="474">
        <f>+A15</f>
        <v>6</v>
      </c>
      <c r="B56" s="474" t="str">
        <f>+B15</f>
        <v>April</v>
      </c>
      <c r="C56" s="474" t="str">
        <f>+C15</f>
        <v>Year 3</v>
      </c>
      <c r="D56" s="481" t="str">
        <f>+D15</f>
        <v>TO populates the formula with Year 2 data from FERC Form 1 for Year 2 (e.g, 2005)</v>
      </c>
      <c r="E56" s="475"/>
      <c r="F56" s="475"/>
      <c r="G56" s="475"/>
      <c r="H56" s="475"/>
      <c r="I56" s="475"/>
      <c r="J56" s="475"/>
      <c r="K56" s="485"/>
      <c r="L56" s="475"/>
      <c r="M56" s="475"/>
      <c r="N56" s="475"/>
      <c r="O56" s="475"/>
      <c r="P56" s="475"/>
      <c r="Q56" s="475"/>
      <c r="R56" s="475"/>
      <c r="S56" s="475"/>
      <c r="T56" s="475"/>
      <c r="U56" s="475"/>
      <c r="V56" s="475"/>
      <c r="W56" s="475"/>
      <c r="X56" s="475"/>
      <c r="Y56" s="475"/>
      <c r="Z56" s="475"/>
      <c r="AA56" s="475"/>
      <c r="AB56" s="475"/>
      <c r="AC56" s="476"/>
    </row>
    <row r="57" spans="1:29" ht="13.5">
      <c r="A57" s="474"/>
      <c r="B57" s="474"/>
      <c r="C57" s="474"/>
      <c r="D57" s="578">
        <v>201339910.0670341</v>
      </c>
      <c r="E57" s="475" t="s">
        <v>272</v>
      </c>
      <c r="F57" s="475"/>
      <c r="G57" s="582" t="s">
        <v>675</v>
      </c>
      <c r="H57" s="475"/>
      <c r="I57" s="475"/>
      <c r="K57" s="475"/>
      <c r="L57" s="475"/>
      <c r="M57" s="475"/>
      <c r="N57" s="475"/>
      <c r="O57" s="475"/>
      <c r="P57" s="475"/>
      <c r="Q57" s="475"/>
      <c r="R57" s="475"/>
      <c r="S57" s="475"/>
      <c r="T57" s="475"/>
      <c r="U57" s="475"/>
      <c r="V57" s="475"/>
      <c r="W57" s="475"/>
      <c r="X57" s="475"/>
      <c r="Y57" s="475"/>
      <c r="Z57" s="475"/>
      <c r="AA57" s="475"/>
      <c r="AB57" s="475"/>
      <c r="AC57" s="476"/>
    </row>
    <row r="58" spans="1:29" ht="13.5">
      <c r="A58" s="474"/>
      <c r="B58" s="474"/>
      <c r="C58" s="474"/>
      <c r="D58" s="497"/>
      <c r="E58" s="475"/>
      <c r="F58" s="475"/>
      <c r="G58" s="475"/>
      <c r="H58" s="475"/>
      <c r="I58" s="475"/>
      <c r="J58" s="475"/>
      <c r="K58" s="475"/>
      <c r="L58" s="475"/>
      <c r="M58" s="475"/>
      <c r="N58" s="475"/>
      <c r="O58" s="475"/>
      <c r="P58" s="475"/>
      <c r="Q58" s="475"/>
      <c r="R58" s="475"/>
      <c r="S58" s="475"/>
      <c r="T58" s="475"/>
      <c r="U58" s="475"/>
      <c r="V58" s="475"/>
      <c r="W58" s="475"/>
      <c r="X58" s="475"/>
      <c r="Y58" s="475"/>
      <c r="Z58" s="475"/>
      <c r="AA58" s="475"/>
      <c r="AB58" s="475"/>
      <c r="AC58" s="476"/>
    </row>
    <row r="59" spans="1:29" ht="13.5">
      <c r="A59" s="474"/>
      <c r="B59" s="474"/>
      <c r="C59" s="474"/>
      <c r="D59" s="486"/>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6"/>
    </row>
    <row r="60" spans="1:29" ht="13.5">
      <c r="A60" s="474">
        <f>+A16</f>
        <v>7</v>
      </c>
      <c r="B60" s="474" t="str">
        <f>+B16</f>
        <v>April</v>
      </c>
      <c r="C60" s="474" t="str">
        <f>+C16</f>
        <v>Year 3</v>
      </c>
      <c r="D60" s="481" t="str">
        <f>+D16</f>
        <v>TO estimates Cap Adds during Year 3 weighted based on Months expected to be in service in Year 3 (e.g., 2006)</v>
      </c>
      <c r="E60" s="475"/>
      <c r="F60" s="475"/>
      <c r="G60" s="475"/>
      <c r="H60" s="475"/>
      <c r="I60" s="475"/>
      <c r="K60" s="475"/>
      <c r="L60" s="475"/>
      <c r="M60" s="475"/>
      <c r="N60" s="475"/>
      <c r="O60" s="475"/>
      <c r="P60" s="475"/>
      <c r="Q60" s="475"/>
      <c r="R60" s="475"/>
      <c r="S60" s="475"/>
      <c r="T60" s="475"/>
      <c r="U60" s="475"/>
      <c r="V60" s="475"/>
      <c r="W60" s="475"/>
      <c r="X60" s="475"/>
      <c r="Y60" s="475"/>
      <c r="Z60" s="475"/>
      <c r="AA60" s="475"/>
      <c r="AB60" s="475"/>
      <c r="AC60" s="476"/>
    </row>
    <row r="61" spans="1:29" ht="13.5">
      <c r="A61" s="474"/>
      <c r="B61" s="474"/>
      <c r="C61" s="474"/>
      <c r="D61" s="475"/>
      <c r="E61" s="474" t="s">
        <v>639</v>
      </c>
      <c r="F61" s="474" t="s">
        <v>586</v>
      </c>
      <c r="G61" s="474" t="s">
        <v>448</v>
      </c>
      <c r="H61" s="474" t="s">
        <v>587</v>
      </c>
      <c r="I61" s="475"/>
      <c r="J61" s="475"/>
      <c r="K61" s="475"/>
      <c r="L61" s="475"/>
      <c r="M61" s="475"/>
      <c r="N61" s="475"/>
      <c r="O61" s="475"/>
      <c r="P61" s="475"/>
      <c r="Q61" s="475"/>
      <c r="R61" s="475"/>
      <c r="S61" s="475"/>
      <c r="T61" s="475"/>
      <c r="U61" s="475"/>
      <c r="V61" s="475"/>
      <c r="W61" s="475"/>
      <c r="X61" s="475"/>
      <c r="Y61" s="475"/>
      <c r="Z61" s="475"/>
      <c r="AA61" s="475"/>
      <c r="AB61" s="475"/>
      <c r="AC61" s="476"/>
    </row>
    <row r="62" spans="1:29" ht="13.5">
      <c r="A62" s="474"/>
      <c r="B62" s="474"/>
      <c r="C62" s="474"/>
      <c r="D62" s="475" t="s">
        <v>588</v>
      </c>
      <c r="E62" s="494">
        <v>997000.88470000401</v>
      </c>
      <c r="F62" s="475">
        <v>11.5</v>
      </c>
      <c r="G62" s="483">
        <f t="shared" ref="G62:G73" si="3">+F62*E62</f>
        <v>11465510.174050046</v>
      </c>
      <c r="H62" s="479">
        <f t="shared" ref="H62:H73" si="4">+G62/12</f>
        <v>955459.18117083714</v>
      </c>
      <c r="I62" s="475"/>
      <c r="J62" s="475"/>
      <c r="K62" s="475"/>
      <c r="L62" s="475"/>
      <c r="M62" s="475"/>
      <c r="N62" s="475"/>
      <c r="O62" s="475"/>
      <c r="P62" s="475"/>
      <c r="Q62" s="475"/>
      <c r="R62" s="475"/>
      <c r="S62" s="475"/>
      <c r="T62" s="475"/>
      <c r="U62" s="475"/>
      <c r="V62" s="475"/>
      <c r="W62" s="475"/>
      <c r="X62" s="475"/>
      <c r="Y62" s="475"/>
      <c r="Z62" s="475"/>
      <c r="AA62" s="475"/>
      <c r="AB62" s="475"/>
      <c r="AC62" s="476"/>
    </row>
    <row r="63" spans="1:29" ht="13.5">
      <c r="A63" s="474"/>
      <c r="B63" s="474"/>
      <c r="C63" s="474"/>
      <c r="D63" s="475" t="s">
        <v>589</v>
      </c>
      <c r="E63" s="494">
        <v>1124118.9100000001</v>
      </c>
      <c r="F63" s="475">
        <f t="shared" ref="F63:F73" si="5">+F62-1</f>
        <v>10.5</v>
      </c>
      <c r="G63" s="483">
        <f t="shared" si="3"/>
        <v>11803248.555000002</v>
      </c>
      <c r="H63" s="479">
        <f t="shared" si="4"/>
        <v>983604.04625000013</v>
      </c>
      <c r="I63" s="475"/>
      <c r="J63" s="475"/>
      <c r="K63" s="475"/>
      <c r="L63" s="475"/>
      <c r="M63" s="475"/>
      <c r="N63" s="475"/>
      <c r="O63" s="475"/>
      <c r="P63" s="475"/>
      <c r="Q63" s="475"/>
      <c r="R63" s="475"/>
      <c r="S63" s="475"/>
      <c r="T63" s="475"/>
      <c r="U63" s="475"/>
      <c r="V63" s="475"/>
      <c r="W63" s="475"/>
      <c r="X63" s="475"/>
      <c r="Y63" s="475"/>
      <c r="Z63" s="475"/>
      <c r="AA63" s="475"/>
      <c r="AB63" s="475"/>
      <c r="AC63" s="476"/>
    </row>
    <row r="64" spans="1:29" ht="13.5">
      <c r="A64" s="474"/>
      <c r="B64" s="474"/>
      <c r="C64" s="474"/>
      <c r="D64" s="475" t="s">
        <v>590</v>
      </c>
      <c r="E64" s="494">
        <v>2740178.5021999981</v>
      </c>
      <c r="F64" s="475">
        <f t="shared" si="5"/>
        <v>9.5</v>
      </c>
      <c r="G64" s="483">
        <f t="shared" si="3"/>
        <v>26031695.770899981</v>
      </c>
      <c r="H64" s="479">
        <f t="shared" si="4"/>
        <v>2169307.9809083319</v>
      </c>
      <c r="I64" s="475"/>
      <c r="J64" s="475"/>
      <c r="K64" s="475"/>
      <c r="L64" s="475"/>
      <c r="M64" s="475"/>
      <c r="N64" s="475"/>
      <c r="O64" s="475"/>
      <c r="P64" s="475"/>
      <c r="Q64" s="475"/>
      <c r="R64" s="475"/>
      <c r="S64" s="475"/>
      <c r="T64" s="475"/>
      <c r="U64" s="475"/>
      <c r="V64" s="475"/>
      <c r="W64" s="475"/>
      <c r="X64" s="475"/>
      <c r="Y64" s="475"/>
      <c r="Z64" s="475"/>
      <c r="AA64" s="475"/>
      <c r="AB64" s="475"/>
      <c r="AC64" s="476"/>
    </row>
    <row r="65" spans="1:29" ht="13.5">
      <c r="A65" s="474"/>
      <c r="B65" s="474"/>
      <c r="C65" s="474"/>
      <c r="D65" s="475" t="s">
        <v>591</v>
      </c>
      <c r="E65" s="494">
        <v>1651559.8061999995</v>
      </c>
      <c r="F65" s="475">
        <f t="shared" si="5"/>
        <v>8.5</v>
      </c>
      <c r="G65" s="483">
        <f t="shared" si="3"/>
        <v>14038258.352699995</v>
      </c>
      <c r="H65" s="479">
        <f t="shared" si="4"/>
        <v>1169854.8627249997</v>
      </c>
      <c r="I65" s="475"/>
      <c r="J65" s="475"/>
      <c r="K65" s="475"/>
      <c r="L65" s="475"/>
      <c r="M65" s="475"/>
      <c r="N65" s="475"/>
      <c r="O65" s="475"/>
      <c r="P65" s="475"/>
      <c r="Q65" s="475"/>
      <c r="R65" s="475"/>
      <c r="S65" s="475"/>
      <c r="T65" s="475"/>
      <c r="U65" s="475"/>
      <c r="V65" s="475"/>
      <c r="W65" s="475"/>
      <c r="X65" s="475"/>
      <c r="Y65" s="475"/>
      <c r="Z65" s="475"/>
      <c r="AA65" s="475"/>
      <c r="AB65" s="475"/>
      <c r="AC65" s="476"/>
    </row>
    <row r="66" spans="1:29" ht="13.5">
      <c r="A66" s="474"/>
      <c r="B66" s="474"/>
      <c r="C66" s="474"/>
      <c r="D66" s="475" t="s">
        <v>584</v>
      </c>
      <c r="E66" s="494">
        <v>9996594.878200002</v>
      </c>
      <c r="F66" s="475">
        <f t="shared" si="5"/>
        <v>7.5</v>
      </c>
      <c r="G66" s="483">
        <f t="shared" si="3"/>
        <v>74974461.586500019</v>
      </c>
      <c r="H66" s="479">
        <f t="shared" si="4"/>
        <v>6247871.7988750013</v>
      </c>
      <c r="I66" s="475"/>
      <c r="J66" s="475"/>
      <c r="K66" s="475"/>
      <c r="L66" s="475"/>
      <c r="M66" s="475"/>
      <c r="N66" s="475"/>
      <c r="O66" s="475"/>
      <c r="P66" s="475"/>
      <c r="Q66" s="475"/>
      <c r="R66" s="475"/>
      <c r="S66" s="475"/>
      <c r="T66" s="475"/>
      <c r="U66" s="475"/>
      <c r="V66" s="475"/>
      <c r="W66" s="475"/>
      <c r="X66" s="475"/>
      <c r="Y66" s="475"/>
      <c r="Z66" s="475"/>
      <c r="AA66" s="475"/>
      <c r="AB66" s="475"/>
      <c r="AC66" s="476"/>
    </row>
    <row r="67" spans="1:29" ht="13.5">
      <c r="A67" s="474"/>
      <c r="B67" s="474"/>
      <c r="C67" s="474"/>
      <c r="D67" s="475" t="s">
        <v>592</v>
      </c>
      <c r="E67" s="494">
        <v>57398843.409999996</v>
      </c>
      <c r="F67" s="475">
        <f t="shared" si="5"/>
        <v>6.5</v>
      </c>
      <c r="G67" s="483">
        <f t="shared" si="3"/>
        <v>373092482.16499996</v>
      </c>
      <c r="H67" s="479">
        <f t="shared" si="4"/>
        <v>31091040.180416662</v>
      </c>
      <c r="I67" s="475"/>
      <c r="J67" s="475"/>
      <c r="K67" s="475"/>
      <c r="L67" s="475"/>
      <c r="M67" s="475"/>
      <c r="N67" s="475"/>
      <c r="O67" s="475"/>
      <c r="P67" s="475"/>
      <c r="Q67" s="475"/>
      <c r="R67" s="475"/>
      <c r="S67" s="475"/>
      <c r="T67" s="475"/>
      <c r="U67" s="475"/>
      <c r="V67" s="475"/>
      <c r="W67" s="475"/>
      <c r="X67" s="475"/>
      <c r="Y67" s="475"/>
      <c r="Z67" s="475"/>
      <c r="AA67" s="475"/>
      <c r="AB67" s="475"/>
      <c r="AC67" s="476"/>
    </row>
    <row r="68" spans="1:29" ht="13.5">
      <c r="A68" s="474"/>
      <c r="B68" s="474"/>
      <c r="C68" s="474"/>
      <c r="D68" s="475" t="s">
        <v>593</v>
      </c>
      <c r="E68" s="494">
        <v>3319191.959999999</v>
      </c>
      <c r="F68" s="475">
        <f t="shared" si="5"/>
        <v>5.5</v>
      </c>
      <c r="G68" s="483">
        <f t="shared" si="3"/>
        <v>18255555.779999994</v>
      </c>
      <c r="H68" s="479">
        <f t="shared" si="4"/>
        <v>1521296.3149999995</v>
      </c>
      <c r="I68" s="475"/>
      <c r="J68" s="475"/>
      <c r="K68" s="475"/>
      <c r="L68" s="475"/>
      <c r="M68" s="475"/>
      <c r="N68" s="475"/>
      <c r="O68" s="475"/>
      <c r="P68" s="475"/>
      <c r="Q68" s="475"/>
      <c r="R68" s="475"/>
      <c r="S68" s="475"/>
      <c r="T68" s="475"/>
      <c r="U68" s="475"/>
      <c r="V68" s="475"/>
      <c r="W68" s="475"/>
      <c r="X68" s="475"/>
      <c r="Y68" s="475"/>
      <c r="Z68" s="475"/>
      <c r="AA68" s="475"/>
      <c r="AB68" s="475"/>
      <c r="AC68" s="476"/>
    </row>
    <row r="69" spans="1:29" ht="13.5">
      <c r="A69" s="474"/>
      <c r="B69" s="474"/>
      <c r="C69" s="474"/>
      <c r="D69" s="475" t="s">
        <v>594</v>
      </c>
      <c r="E69" s="494">
        <v>6654493.0800000094</v>
      </c>
      <c r="F69" s="475">
        <f t="shared" si="5"/>
        <v>4.5</v>
      </c>
      <c r="G69" s="483">
        <f t="shared" si="3"/>
        <v>29945218.860000044</v>
      </c>
      <c r="H69" s="479">
        <f t="shared" si="4"/>
        <v>2495434.9050000035</v>
      </c>
      <c r="I69" s="475"/>
      <c r="J69" s="475"/>
      <c r="K69" s="475"/>
      <c r="L69" s="475"/>
      <c r="M69" s="475"/>
      <c r="N69" s="475"/>
      <c r="O69" s="475"/>
      <c r="P69" s="475"/>
      <c r="Q69" s="475"/>
      <c r="R69" s="475"/>
      <c r="S69" s="475"/>
      <c r="T69" s="475"/>
      <c r="U69" s="475"/>
      <c r="V69" s="475"/>
      <c r="W69" s="475"/>
      <c r="X69" s="475"/>
      <c r="Y69" s="475"/>
      <c r="Z69" s="475"/>
      <c r="AA69" s="475"/>
      <c r="AB69" s="475"/>
      <c r="AC69" s="476"/>
    </row>
    <row r="70" spans="1:29" ht="13.5">
      <c r="A70" s="474"/>
      <c r="B70" s="474"/>
      <c r="C70" s="474"/>
      <c r="D70" s="475" t="s">
        <v>595</v>
      </c>
      <c r="E70" s="494">
        <v>5903422.4499999881</v>
      </c>
      <c r="F70" s="475">
        <f t="shared" si="5"/>
        <v>3.5</v>
      </c>
      <c r="G70" s="483">
        <f t="shared" si="3"/>
        <v>20661978.574999958</v>
      </c>
      <c r="H70" s="479">
        <f t="shared" si="4"/>
        <v>1721831.5479166631</v>
      </c>
      <c r="I70" s="475"/>
      <c r="J70" s="475"/>
      <c r="K70" s="475"/>
      <c r="L70" s="475"/>
      <c r="M70" s="475"/>
      <c r="N70" s="475"/>
      <c r="O70" s="475"/>
      <c r="P70" s="475"/>
      <c r="Q70" s="475"/>
      <c r="R70" s="475"/>
      <c r="S70" s="475"/>
      <c r="T70" s="475"/>
      <c r="U70" s="475"/>
      <c r="V70" s="475"/>
      <c r="W70" s="475"/>
      <c r="X70" s="475"/>
      <c r="Y70" s="475"/>
      <c r="Z70" s="475"/>
      <c r="AA70" s="475"/>
      <c r="AB70" s="475"/>
      <c r="AC70" s="476"/>
    </row>
    <row r="71" spans="1:29" ht="13.5">
      <c r="A71" s="474"/>
      <c r="B71" s="474"/>
      <c r="C71" s="474"/>
      <c r="D71" s="475" t="s">
        <v>596</v>
      </c>
      <c r="E71" s="494">
        <v>51141310.849999987</v>
      </c>
      <c r="F71" s="475">
        <f t="shared" si="5"/>
        <v>2.5</v>
      </c>
      <c r="G71" s="483">
        <f t="shared" si="3"/>
        <v>127853277.12499997</v>
      </c>
      <c r="H71" s="479">
        <f t="shared" si="4"/>
        <v>10654439.760416664</v>
      </c>
      <c r="I71" s="475"/>
      <c r="J71" s="475"/>
      <c r="K71" s="475"/>
      <c r="L71" s="475"/>
      <c r="M71" s="475"/>
      <c r="N71" s="475"/>
      <c r="O71" s="475"/>
      <c r="P71" s="475"/>
      <c r="Q71" s="475"/>
      <c r="R71" s="475"/>
      <c r="S71" s="475"/>
      <c r="T71" s="475"/>
      <c r="U71" s="475"/>
      <c r="V71" s="475"/>
      <c r="W71" s="475"/>
      <c r="X71" s="475"/>
      <c r="Y71" s="475"/>
      <c r="Z71" s="475"/>
      <c r="AA71" s="475"/>
      <c r="AB71" s="475"/>
      <c r="AC71" s="476"/>
    </row>
    <row r="72" spans="1:29" ht="13.5">
      <c r="A72" s="474"/>
      <c r="B72" s="474"/>
      <c r="C72" s="474"/>
      <c r="D72" s="475" t="s">
        <v>597</v>
      </c>
      <c r="E72" s="494">
        <v>2206795.8300000038</v>
      </c>
      <c r="F72" s="475">
        <f t="shared" si="5"/>
        <v>1.5</v>
      </c>
      <c r="G72" s="483">
        <f t="shared" si="3"/>
        <v>3310193.7450000057</v>
      </c>
      <c r="H72" s="479">
        <f t="shared" si="4"/>
        <v>275849.47875000047</v>
      </c>
      <c r="I72" s="475"/>
      <c r="J72" s="475"/>
      <c r="K72" s="475"/>
      <c r="L72" s="475"/>
      <c r="M72" s="475"/>
      <c r="N72" s="475"/>
      <c r="O72" s="475"/>
      <c r="P72" s="475"/>
      <c r="Q72" s="475"/>
      <c r="R72" s="475"/>
      <c r="S72" s="475"/>
      <c r="T72" s="475"/>
      <c r="U72" s="475"/>
      <c r="V72" s="475"/>
      <c r="W72" s="475"/>
      <c r="X72" s="475"/>
      <c r="Y72" s="475"/>
      <c r="Z72" s="475"/>
      <c r="AA72" s="475"/>
      <c r="AB72" s="475"/>
      <c r="AC72" s="476"/>
    </row>
    <row r="73" spans="1:29" ht="13.5">
      <c r="A73" s="474"/>
      <c r="B73" s="474"/>
      <c r="C73" s="474"/>
      <c r="D73" s="475" t="s">
        <v>598</v>
      </c>
      <c r="E73" s="625">
        <v>218331.8599999994</v>
      </c>
      <c r="F73" s="475">
        <f t="shared" si="5"/>
        <v>0.5</v>
      </c>
      <c r="G73" s="483">
        <f t="shared" si="3"/>
        <v>109165.9299999997</v>
      </c>
      <c r="H73" s="479">
        <f t="shared" si="4"/>
        <v>9097.1608333333079</v>
      </c>
      <c r="I73" s="475"/>
      <c r="J73" s="475"/>
      <c r="K73" s="475"/>
      <c r="L73" s="475"/>
      <c r="M73" s="475"/>
      <c r="N73" s="475"/>
      <c r="O73" s="475"/>
      <c r="P73" s="475"/>
      <c r="Q73" s="475"/>
      <c r="R73" s="475"/>
      <c r="S73" s="475"/>
      <c r="T73" s="475"/>
      <c r="U73" s="475"/>
      <c r="V73" s="475"/>
      <c r="W73" s="475"/>
      <c r="X73" s="475"/>
      <c r="Y73" s="475"/>
      <c r="Z73" s="475"/>
      <c r="AA73" s="475"/>
      <c r="AB73" s="475"/>
      <c r="AC73" s="476"/>
    </row>
    <row r="74" spans="1:29" ht="13.5">
      <c r="A74" s="474"/>
      <c r="B74" s="474"/>
      <c r="C74" s="474"/>
      <c r="D74" s="475" t="s">
        <v>340</v>
      </c>
      <c r="E74" s="483">
        <f>SUM(E62:E73)</f>
        <v>143351842.42129999</v>
      </c>
      <c r="F74" s="475"/>
      <c r="G74" s="483">
        <f>SUM(G62:G73)</f>
        <v>711541046.61914992</v>
      </c>
      <c r="H74" s="479">
        <f>SUM(H62:H73)</f>
        <v>59295087.218262494</v>
      </c>
      <c r="I74" s="475"/>
      <c r="J74" s="475"/>
      <c r="K74" s="475"/>
      <c r="L74" s="475"/>
      <c r="M74" s="475"/>
      <c r="N74" s="475"/>
      <c r="O74" s="475"/>
      <c r="P74" s="475"/>
      <c r="Q74" s="475"/>
      <c r="R74" s="475"/>
      <c r="S74" s="475"/>
      <c r="T74" s="475"/>
      <c r="U74" s="475"/>
      <c r="V74" s="475"/>
      <c r="W74" s="475"/>
      <c r="X74" s="475"/>
      <c r="Y74" s="475"/>
      <c r="Z74" s="475"/>
      <c r="AA74" s="475"/>
      <c r="AB74" s="475"/>
      <c r="AC74" s="476"/>
    </row>
    <row r="75" spans="1:29" ht="13.5">
      <c r="A75" s="474"/>
      <c r="B75" s="474"/>
      <c r="D75" s="475" t="s">
        <v>274</v>
      </c>
      <c r="E75" s="475"/>
      <c r="F75" s="475"/>
      <c r="G75" s="475"/>
      <c r="H75" s="494">
        <f>+H74</f>
        <v>59295087.218262494</v>
      </c>
      <c r="I75" s="475" t="str">
        <f>+E46</f>
        <v>Input to Formula Line 21</v>
      </c>
      <c r="J75" s="475"/>
      <c r="K75" s="475"/>
      <c r="L75" s="475"/>
      <c r="M75" s="475"/>
      <c r="N75" s="475"/>
      <c r="O75" s="475"/>
      <c r="P75" s="475"/>
      <c r="Q75" s="475"/>
      <c r="R75" s="475"/>
      <c r="S75" s="475"/>
      <c r="T75" s="475"/>
      <c r="U75" s="475"/>
      <c r="V75" s="475"/>
      <c r="W75" s="475"/>
      <c r="X75" s="475"/>
      <c r="Y75" s="475"/>
      <c r="Z75" s="475"/>
      <c r="AA75" s="475"/>
      <c r="AB75" s="475"/>
      <c r="AC75" s="476"/>
    </row>
    <row r="76" spans="1:29" ht="13.5">
      <c r="A76" s="474"/>
      <c r="B76" s="474"/>
      <c r="D76" s="475"/>
      <c r="E76" s="475"/>
      <c r="F76" s="475"/>
      <c r="G76" s="475"/>
      <c r="H76" s="499"/>
      <c r="I76" s="475"/>
      <c r="J76" s="475"/>
      <c r="K76" s="475"/>
      <c r="L76" s="475"/>
      <c r="M76" s="475"/>
      <c r="N76" s="475"/>
      <c r="O76" s="475"/>
      <c r="P76" s="475"/>
      <c r="Q76" s="475"/>
      <c r="R76" s="475"/>
      <c r="S76" s="475"/>
      <c r="T76" s="475"/>
      <c r="U76" s="475"/>
      <c r="V76" s="475"/>
      <c r="W76" s="475"/>
      <c r="X76" s="475"/>
      <c r="Y76" s="475"/>
      <c r="Z76" s="475"/>
      <c r="AA76" s="475"/>
      <c r="AB76" s="475"/>
      <c r="AC76" s="476"/>
    </row>
    <row r="77" spans="1:29" ht="13.5">
      <c r="A77" s="474"/>
      <c r="B77" s="474"/>
      <c r="C77" s="474"/>
      <c r="D77" s="475"/>
      <c r="E77" s="475"/>
      <c r="F77" s="475"/>
      <c r="G77" s="475"/>
      <c r="H77" s="483"/>
      <c r="I77" s="475"/>
      <c r="J77" s="475"/>
      <c r="K77" s="475"/>
      <c r="L77" s="475"/>
      <c r="M77" s="475"/>
      <c r="N77" s="475"/>
      <c r="O77" s="475"/>
      <c r="P77" s="475"/>
      <c r="Q77" s="475"/>
      <c r="R77" s="475"/>
      <c r="S77" s="475"/>
      <c r="T77" s="475"/>
      <c r="U77" s="475"/>
      <c r="V77" s="475"/>
      <c r="W77" s="475"/>
      <c r="X77" s="475"/>
      <c r="Y77" s="475"/>
      <c r="Z77" s="475"/>
      <c r="AA77" s="475"/>
      <c r="AB77" s="475"/>
      <c r="AC77" s="476"/>
    </row>
    <row r="78" spans="1:29" ht="26.45" customHeight="1">
      <c r="A78" s="616">
        <f>+A17</f>
        <v>8</v>
      </c>
      <c r="B78" s="616" t="str">
        <f>+B17</f>
        <v>April</v>
      </c>
      <c r="C78" s="616" t="str">
        <f>+C17</f>
        <v>Year 3</v>
      </c>
      <c r="D78" s="1152" t="str">
        <f>+D17</f>
        <v>Reconciliation - TO calculates Reconciliation by removing from Year 2 data - the total Cap Adds placed in service in Year 2 and adding weighted average in Year 2 actual Cap Adds in Reconciliation</v>
      </c>
      <c r="E78" s="1152"/>
      <c r="F78" s="1152"/>
      <c r="G78" s="1152"/>
      <c r="H78" s="1152"/>
      <c r="I78" s="962"/>
      <c r="J78" s="962"/>
      <c r="K78" s="475"/>
      <c r="L78" s="475"/>
      <c r="M78" s="475"/>
      <c r="N78" s="475"/>
      <c r="O78" s="475"/>
      <c r="P78" s="475"/>
      <c r="Q78" s="475"/>
      <c r="R78" s="475"/>
      <c r="S78" s="475"/>
      <c r="T78" s="475"/>
      <c r="U78" s="475"/>
      <c r="V78" s="475"/>
      <c r="W78" s="475"/>
      <c r="X78" s="475"/>
      <c r="Y78" s="475"/>
      <c r="Z78" s="475"/>
      <c r="AA78" s="475"/>
      <c r="AB78" s="475"/>
      <c r="AC78" s="476"/>
    </row>
    <row r="79" spans="1:29" ht="13.5">
      <c r="A79" s="474"/>
      <c r="B79" s="474"/>
      <c r="C79" s="474"/>
      <c r="D79" s="962"/>
      <c r="E79" s="962"/>
      <c r="F79" s="962"/>
      <c r="G79" s="962"/>
      <c r="H79" s="962"/>
      <c r="I79" s="962"/>
      <c r="J79" s="962"/>
      <c r="K79" s="475"/>
      <c r="L79" s="475"/>
      <c r="M79" s="475"/>
      <c r="N79" s="475"/>
      <c r="O79" s="475"/>
      <c r="P79" s="475"/>
      <c r="Q79" s="475"/>
      <c r="R79" s="475"/>
      <c r="S79" s="475"/>
      <c r="T79" s="475"/>
      <c r="U79" s="475"/>
      <c r="V79" s="475"/>
      <c r="W79" s="475"/>
      <c r="X79" s="475"/>
      <c r="Y79" s="475"/>
      <c r="Z79" s="475"/>
      <c r="AA79" s="475"/>
      <c r="AB79" s="475"/>
      <c r="AC79" s="476"/>
    </row>
    <row r="80" spans="1:29" ht="13.5">
      <c r="A80" s="474"/>
      <c r="B80" s="474"/>
      <c r="C80" s="474"/>
      <c r="D80" s="475" t="s">
        <v>676</v>
      </c>
      <c r="E80" s="968"/>
      <c r="F80" s="968"/>
      <c r="G80" s="968"/>
      <c r="H80" s="968"/>
      <c r="I80" s="968"/>
      <c r="J80" s="968"/>
      <c r="K80" s="475"/>
      <c r="L80" s="475"/>
      <c r="M80" s="475"/>
      <c r="N80" s="475"/>
      <c r="O80" s="475"/>
      <c r="P80" s="475"/>
      <c r="Q80" s="475"/>
      <c r="R80" s="475"/>
      <c r="S80" s="475"/>
      <c r="T80" s="475"/>
      <c r="U80" s="475"/>
      <c r="V80" s="475"/>
      <c r="W80" s="475"/>
      <c r="X80" s="475"/>
      <c r="Y80" s="475"/>
      <c r="Z80" s="475"/>
      <c r="AA80" s="475"/>
      <c r="AB80" s="475"/>
      <c r="AC80" s="476"/>
    </row>
    <row r="81" spans="1:29" ht="13.5">
      <c r="A81" s="474"/>
      <c r="B81" s="474"/>
      <c r="C81" s="474"/>
      <c r="D81" s="475" t="s">
        <v>678</v>
      </c>
      <c r="E81" s="475"/>
      <c r="F81" s="475"/>
      <c r="G81" s="475"/>
      <c r="H81" s="577">
        <f>+E97</f>
        <v>205861177.88999999</v>
      </c>
      <c r="I81" s="475" t="str">
        <f>"Input to Formula Line "&amp;'ATT H-2A'!A41</f>
        <v>Input to Formula Line 20</v>
      </c>
      <c r="J81" s="475"/>
      <c r="K81" s="475"/>
      <c r="L81" s="475"/>
      <c r="M81" s="475"/>
      <c r="N81" s="475"/>
      <c r="O81" s="475"/>
      <c r="P81" s="475"/>
      <c r="Q81" s="475"/>
      <c r="R81" s="475"/>
      <c r="S81" s="475"/>
      <c r="T81" s="475"/>
      <c r="U81" s="475"/>
      <c r="V81" s="475"/>
      <c r="W81" s="475"/>
      <c r="X81" s="475"/>
      <c r="Y81" s="475"/>
      <c r="Z81" s="475"/>
      <c r="AA81" s="475"/>
      <c r="AB81" s="475"/>
      <c r="AC81" s="476"/>
    </row>
    <row r="82" spans="1:29" ht="13.5">
      <c r="A82" s="474"/>
      <c r="B82" s="474"/>
      <c r="C82" s="474"/>
      <c r="D82" s="497"/>
      <c r="E82" s="475"/>
      <c r="F82" s="475"/>
      <c r="G82" s="475"/>
      <c r="H82" s="475"/>
      <c r="I82" s="475"/>
      <c r="J82" s="475"/>
      <c r="K82" s="475"/>
      <c r="L82" s="475"/>
      <c r="M82" s="475"/>
      <c r="N82" s="475"/>
      <c r="O82" s="475"/>
      <c r="P82" s="475"/>
      <c r="Q82" s="475"/>
      <c r="R82" s="475"/>
      <c r="S82" s="475"/>
      <c r="T82" s="475"/>
      <c r="U82" s="475"/>
      <c r="V82" s="475"/>
      <c r="W82" s="475"/>
      <c r="X82" s="475"/>
      <c r="Y82" s="475"/>
      <c r="Z82" s="475"/>
      <c r="AA82" s="475"/>
      <c r="AB82" s="475"/>
      <c r="AC82" s="476"/>
    </row>
    <row r="83" spans="1:29" ht="13.5">
      <c r="A83" s="474"/>
      <c r="B83" s="474"/>
      <c r="C83" s="474"/>
      <c r="D83" s="504" t="s">
        <v>677</v>
      </c>
      <c r="E83" s="475"/>
      <c r="F83" s="475"/>
      <c r="G83" s="475"/>
      <c r="H83" s="475"/>
      <c r="I83" s="475"/>
      <c r="J83" s="475"/>
      <c r="K83" s="475"/>
      <c r="L83" s="475"/>
      <c r="M83" s="475"/>
      <c r="N83" s="475"/>
      <c r="O83" s="475"/>
      <c r="P83" s="475"/>
      <c r="Q83" s="475"/>
      <c r="R83" s="475"/>
      <c r="S83" s="475"/>
      <c r="T83" s="475"/>
      <c r="U83" s="475"/>
      <c r="V83" s="475"/>
      <c r="W83" s="475"/>
      <c r="X83" s="475"/>
      <c r="Y83" s="475"/>
      <c r="Z83" s="475"/>
      <c r="AA83" s="475"/>
      <c r="AB83" s="475"/>
      <c r="AC83" s="476"/>
    </row>
    <row r="84" spans="1:29" ht="13.5">
      <c r="A84" s="474"/>
      <c r="B84" s="474"/>
      <c r="C84" s="474"/>
      <c r="D84" s="475"/>
      <c r="E84" s="474" t="s">
        <v>640</v>
      </c>
      <c r="F84" s="474" t="s">
        <v>586</v>
      </c>
      <c r="G84" s="474" t="s">
        <v>448</v>
      </c>
      <c r="H84" s="474" t="s">
        <v>587</v>
      </c>
      <c r="I84" s="475"/>
      <c r="J84" s="475"/>
      <c r="K84" s="475"/>
      <c r="L84" s="475"/>
      <c r="M84" s="475"/>
      <c r="N84" s="475"/>
      <c r="O84" s="475"/>
      <c r="P84" s="475"/>
      <c r="Q84" s="475"/>
      <c r="R84" s="475"/>
      <c r="S84" s="475"/>
      <c r="T84" s="475"/>
      <c r="U84" s="475"/>
      <c r="V84" s="475"/>
      <c r="W84" s="475"/>
      <c r="X84" s="475"/>
      <c r="Y84" s="475"/>
      <c r="Z84" s="475"/>
      <c r="AA84" s="475"/>
      <c r="AB84" s="475"/>
      <c r="AC84" s="476"/>
    </row>
    <row r="85" spans="1:29" ht="13.5">
      <c r="A85" s="474"/>
      <c r="B85" s="474"/>
      <c r="C85" s="474"/>
      <c r="D85" s="475" t="s">
        <v>588</v>
      </c>
      <c r="E85" s="482">
        <v>1865844.5999999975</v>
      </c>
      <c r="F85" s="475">
        <v>11.5</v>
      </c>
      <c r="G85" s="483">
        <f t="shared" ref="G85:G96" si="6">+F85*E85</f>
        <v>21457212.899999972</v>
      </c>
      <c r="H85" s="479">
        <f t="shared" ref="H85:H96" si="7">+G85/12</f>
        <v>1788101.0749999976</v>
      </c>
      <c r="I85" s="475"/>
      <c r="J85" s="475"/>
      <c r="K85" s="475"/>
      <c r="L85" s="475"/>
      <c r="M85" s="475"/>
      <c r="N85" s="475"/>
      <c r="O85" s="475"/>
      <c r="P85" s="475"/>
      <c r="Q85" s="475"/>
      <c r="R85" s="475"/>
      <c r="S85" s="475"/>
      <c r="T85" s="475"/>
      <c r="U85" s="475"/>
      <c r="V85" s="475"/>
      <c r="W85" s="475"/>
      <c r="X85" s="475"/>
      <c r="Y85" s="475"/>
      <c r="Z85" s="475"/>
      <c r="AA85" s="475"/>
      <c r="AB85" s="475"/>
      <c r="AC85" s="476"/>
    </row>
    <row r="86" spans="1:29" ht="13.5">
      <c r="A86" s="474"/>
      <c r="B86" s="474"/>
      <c r="C86" s="474"/>
      <c r="D86" s="475" t="s">
        <v>589</v>
      </c>
      <c r="E86" s="482">
        <v>960402.46</v>
      </c>
      <c r="F86" s="475">
        <f t="shared" ref="F86:F96" si="8">+F85-1</f>
        <v>10.5</v>
      </c>
      <c r="G86" s="483">
        <f t="shared" si="6"/>
        <v>10084225.83</v>
      </c>
      <c r="H86" s="479">
        <f t="shared" si="7"/>
        <v>840352.15249999997</v>
      </c>
      <c r="I86" s="475"/>
      <c r="J86" s="475"/>
      <c r="K86" s="475"/>
      <c r="L86" s="475"/>
      <c r="M86" s="475"/>
      <c r="N86" s="475"/>
      <c r="O86" s="475"/>
      <c r="P86" s="475"/>
      <c r="Q86" s="475"/>
      <c r="R86" s="475"/>
      <c r="S86" s="475"/>
      <c r="T86" s="475"/>
      <c r="U86" s="475"/>
      <c r="V86" s="475"/>
      <c r="W86" s="475"/>
      <c r="X86" s="475"/>
      <c r="Y86" s="475"/>
      <c r="Z86" s="475"/>
      <c r="AA86" s="475"/>
      <c r="AB86" s="475"/>
      <c r="AC86" s="476"/>
    </row>
    <row r="87" spans="1:29" ht="13.5">
      <c r="A87" s="474"/>
      <c r="B87" s="474"/>
      <c r="C87" s="474"/>
      <c r="D87" s="475" t="s">
        <v>590</v>
      </c>
      <c r="E87" s="482">
        <v>1751374.8500000003</v>
      </c>
      <c r="F87" s="475">
        <f t="shared" si="8"/>
        <v>9.5</v>
      </c>
      <c r="G87" s="483">
        <f t="shared" si="6"/>
        <v>16638061.075000003</v>
      </c>
      <c r="H87" s="479">
        <f t="shared" si="7"/>
        <v>1386505.0895833336</v>
      </c>
      <c r="I87" s="475"/>
      <c r="J87" s="475"/>
      <c r="K87" s="475"/>
      <c r="L87" s="475"/>
      <c r="M87" s="475"/>
      <c r="N87" s="475"/>
      <c r="O87" s="475"/>
      <c r="P87" s="475"/>
      <c r="Q87" s="475"/>
      <c r="R87" s="475"/>
      <c r="S87" s="475"/>
      <c r="T87" s="475"/>
      <c r="U87" s="475"/>
      <c r="V87" s="475"/>
      <c r="W87" s="475"/>
      <c r="X87" s="475"/>
      <c r="Y87" s="475"/>
      <c r="Z87" s="475"/>
      <c r="AA87" s="475"/>
      <c r="AB87" s="475"/>
      <c r="AC87" s="476"/>
    </row>
    <row r="88" spans="1:29" ht="13.5">
      <c r="A88" s="474"/>
      <c r="B88" s="474"/>
      <c r="C88" s="474"/>
      <c r="D88" s="475" t="s">
        <v>591</v>
      </c>
      <c r="E88" s="482">
        <v>1516768.6</v>
      </c>
      <c r="F88" s="475">
        <f t="shared" si="8"/>
        <v>8.5</v>
      </c>
      <c r="G88" s="483">
        <f t="shared" si="6"/>
        <v>12892533.100000001</v>
      </c>
      <c r="H88" s="479">
        <f t="shared" si="7"/>
        <v>1074377.7583333335</v>
      </c>
      <c r="I88" s="475"/>
      <c r="J88" s="475"/>
      <c r="K88" s="475"/>
      <c r="L88" s="475"/>
      <c r="M88" s="475"/>
      <c r="N88" s="475"/>
      <c r="O88" s="475"/>
      <c r="P88" s="475"/>
      <c r="Q88" s="475"/>
      <c r="R88" s="475"/>
      <c r="S88" s="475"/>
      <c r="T88" s="475"/>
      <c r="U88" s="475"/>
      <c r="V88" s="475"/>
      <c r="W88" s="475"/>
      <c r="X88" s="475"/>
      <c r="Y88" s="475"/>
      <c r="Z88" s="475"/>
      <c r="AA88" s="475"/>
      <c r="AB88" s="475"/>
      <c r="AC88" s="476"/>
    </row>
    <row r="89" spans="1:29" ht="13.5">
      <c r="A89" s="474"/>
      <c r="B89" s="474"/>
      <c r="C89" s="474"/>
      <c r="D89" s="475" t="s">
        <v>584</v>
      </c>
      <c r="E89" s="482">
        <v>4859804.26</v>
      </c>
      <c r="F89" s="475">
        <f t="shared" si="8"/>
        <v>7.5</v>
      </c>
      <c r="G89" s="483">
        <f t="shared" si="6"/>
        <v>36448531.949999996</v>
      </c>
      <c r="H89" s="479">
        <f t="shared" si="7"/>
        <v>3037377.6624999996</v>
      </c>
      <c r="I89" s="475"/>
      <c r="J89" s="475"/>
      <c r="K89" s="475"/>
      <c r="L89" s="475"/>
      <c r="M89" s="475"/>
      <c r="N89" s="475"/>
      <c r="O89" s="475"/>
      <c r="P89" s="475"/>
      <c r="Q89" s="475"/>
      <c r="R89" s="475"/>
      <c r="S89" s="475"/>
      <c r="T89" s="475"/>
      <c r="U89" s="475"/>
      <c r="V89" s="475"/>
      <c r="W89" s="475"/>
      <c r="X89" s="475"/>
      <c r="Y89" s="475"/>
      <c r="Z89" s="475"/>
      <c r="AA89" s="475"/>
      <c r="AB89" s="475"/>
      <c r="AC89" s="476"/>
    </row>
    <row r="90" spans="1:29" ht="13.5">
      <c r="A90" s="474"/>
      <c r="B90" s="474"/>
      <c r="C90" s="474"/>
      <c r="D90" s="475" t="s">
        <v>592</v>
      </c>
      <c r="E90" s="482">
        <v>1581041.9799999981</v>
      </c>
      <c r="F90" s="475">
        <f t="shared" si="8"/>
        <v>6.5</v>
      </c>
      <c r="G90" s="483">
        <f t="shared" si="6"/>
        <v>10276772.869999988</v>
      </c>
      <c r="H90" s="479">
        <f t="shared" si="7"/>
        <v>856397.73916666571</v>
      </c>
      <c r="I90" s="475"/>
      <c r="J90" s="475"/>
      <c r="K90" s="475"/>
      <c r="L90" s="475"/>
      <c r="M90" s="475"/>
      <c r="N90" s="475"/>
      <c r="O90" s="475"/>
      <c r="P90" s="475"/>
      <c r="Q90" s="475"/>
      <c r="R90" s="475"/>
      <c r="S90" s="475"/>
      <c r="T90" s="475"/>
      <c r="U90" s="475"/>
      <c r="V90" s="475"/>
      <c r="W90" s="475"/>
      <c r="X90" s="475"/>
      <c r="Y90" s="475"/>
      <c r="Z90" s="475"/>
      <c r="AA90" s="475"/>
      <c r="AB90" s="475"/>
      <c r="AC90" s="476"/>
    </row>
    <row r="91" spans="1:29" ht="13.5">
      <c r="A91" s="474"/>
      <c r="B91" s="474"/>
      <c r="C91" s="474"/>
      <c r="D91" s="475" t="s">
        <v>593</v>
      </c>
      <c r="E91" s="482">
        <v>1559366.3900000001</v>
      </c>
      <c r="F91" s="475">
        <f t="shared" si="8"/>
        <v>5.5</v>
      </c>
      <c r="G91" s="483">
        <f t="shared" si="6"/>
        <v>8576515.1450000014</v>
      </c>
      <c r="H91" s="479">
        <f t="shared" si="7"/>
        <v>714709.59541666682</v>
      </c>
      <c r="I91" s="475"/>
      <c r="J91" s="475"/>
      <c r="K91" s="475"/>
      <c r="L91" s="475"/>
      <c r="M91" s="475"/>
      <c r="N91" s="475"/>
      <c r="O91" s="475"/>
      <c r="P91" s="475"/>
      <c r="Q91" s="475"/>
      <c r="R91" s="475"/>
      <c r="S91" s="475"/>
      <c r="T91" s="475"/>
      <c r="U91" s="475"/>
      <c r="V91" s="475"/>
      <c r="W91" s="475"/>
      <c r="X91" s="475"/>
      <c r="Y91" s="475"/>
      <c r="Z91" s="475"/>
      <c r="AA91" s="475"/>
      <c r="AB91" s="475"/>
      <c r="AC91" s="476"/>
    </row>
    <row r="92" spans="1:29" ht="13.5">
      <c r="A92" s="474"/>
      <c r="B92" s="474"/>
      <c r="C92" s="474"/>
      <c r="D92" s="475" t="s">
        <v>594</v>
      </c>
      <c r="E92" s="482">
        <v>38594959.040000014</v>
      </c>
      <c r="F92" s="475">
        <f t="shared" si="8"/>
        <v>4.5</v>
      </c>
      <c r="G92" s="483">
        <f t="shared" si="6"/>
        <v>173677315.68000007</v>
      </c>
      <c r="H92" s="479">
        <f t="shared" si="7"/>
        <v>14473109.640000006</v>
      </c>
      <c r="I92" s="475"/>
      <c r="J92" s="475"/>
      <c r="K92" s="475"/>
      <c r="L92" s="475"/>
      <c r="M92" s="475"/>
      <c r="N92" s="475"/>
      <c r="O92" s="475"/>
      <c r="P92" s="475"/>
      <c r="Q92" s="475"/>
      <c r="R92" s="475"/>
      <c r="S92" s="475"/>
      <c r="T92" s="475"/>
      <c r="U92" s="475"/>
      <c r="V92" s="475"/>
      <c r="W92" s="475"/>
      <c r="X92" s="475"/>
      <c r="Y92" s="475"/>
      <c r="Z92" s="475"/>
      <c r="AA92" s="475"/>
      <c r="AB92" s="475"/>
      <c r="AC92" s="476"/>
    </row>
    <row r="93" spans="1:29" ht="13.5">
      <c r="A93" s="474"/>
      <c r="B93" s="474"/>
      <c r="C93" s="474"/>
      <c r="D93" s="475" t="s">
        <v>595</v>
      </c>
      <c r="E93" s="482">
        <v>65890861.769999996</v>
      </c>
      <c r="F93" s="475">
        <f t="shared" si="8"/>
        <v>3.5</v>
      </c>
      <c r="G93" s="483">
        <f t="shared" si="6"/>
        <v>230618016.19499999</v>
      </c>
      <c r="H93" s="479">
        <f t="shared" si="7"/>
        <v>19218168.016249999</v>
      </c>
      <c r="I93" s="475"/>
      <c r="J93" s="475"/>
      <c r="K93" s="475"/>
      <c r="L93" s="475"/>
      <c r="M93" s="475"/>
      <c r="N93" s="475"/>
      <c r="O93" s="475"/>
      <c r="P93" s="475"/>
      <c r="Q93" s="475"/>
      <c r="R93" s="475"/>
      <c r="S93" s="475"/>
      <c r="T93" s="475"/>
      <c r="U93" s="475"/>
      <c r="V93" s="475"/>
      <c r="W93" s="475"/>
      <c r="X93" s="475"/>
      <c r="Y93" s="475"/>
      <c r="Z93" s="475"/>
      <c r="AA93" s="475"/>
      <c r="AB93" s="475"/>
      <c r="AC93" s="476"/>
    </row>
    <row r="94" spans="1:29" ht="13.5">
      <c r="A94" s="474"/>
      <c r="B94" s="474"/>
      <c r="C94" s="474"/>
      <c r="D94" s="475" t="s">
        <v>596</v>
      </c>
      <c r="E94" s="482">
        <v>3068078.6300000004</v>
      </c>
      <c r="F94" s="475">
        <f t="shared" si="8"/>
        <v>2.5</v>
      </c>
      <c r="G94" s="483">
        <f t="shared" si="6"/>
        <v>7670196.5750000011</v>
      </c>
      <c r="H94" s="479">
        <f t="shared" si="7"/>
        <v>639183.04791666672</v>
      </c>
      <c r="I94" s="475"/>
      <c r="J94" s="475"/>
      <c r="K94" s="475"/>
      <c r="L94" s="475"/>
      <c r="M94" s="475"/>
      <c r="N94" s="475"/>
      <c r="O94" s="475"/>
      <c r="P94" s="475"/>
      <c r="Q94" s="475"/>
      <c r="R94" s="475"/>
      <c r="S94" s="475"/>
      <c r="T94" s="475"/>
      <c r="U94" s="475"/>
      <c r="V94" s="475"/>
      <c r="W94" s="475"/>
      <c r="X94" s="475"/>
      <c r="Y94" s="475"/>
      <c r="Z94" s="475"/>
      <c r="AA94" s="475"/>
      <c r="AB94" s="475"/>
      <c r="AC94" s="476"/>
    </row>
    <row r="95" spans="1:29" ht="13.5">
      <c r="A95" s="474"/>
      <c r="B95" s="474"/>
      <c r="C95" s="474"/>
      <c r="D95" s="475" t="s">
        <v>597</v>
      </c>
      <c r="E95" s="482">
        <v>6359732.4299999978</v>
      </c>
      <c r="F95" s="475">
        <f t="shared" si="8"/>
        <v>1.5</v>
      </c>
      <c r="G95" s="483">
        <f t="shared" si="6"/>
        <v>9539598.6449999958</v>
      </c>
      <c r="H95" s="479">
        <f t="shared" si="7"/>
        <v>794966.55374999961</v>
      </c>
      <c r="I95" s="475"/>
      <c r="J95" s="475"/>
      <c r="K95" s="475"/>
      <c r="L95" s="475"/>
      <c r="M95" s="475"/>
      <c r="N95" s="475"/>
      <c r="O95" s="475"/>
      <c r="P95" s="475"/>
      <c r="Q95" s="475"/>
      <c r="R95" s="475"/>
      <c r="S95" s="475"/>
      <c r="T95" s="475"/>
      <c r="U95" s="475"/>
      <c r="V95" s="475"/>
      <c r="W95" s="475"/>
      <c r="X95" s="475"/>
      <c r="Y95" s="475"/>
      <c r="Z95" s="475"/>
      <c r="AA95" s="475"/>
      <c r="AB95" s="475"/>
      <c r="AC95" s="476"/>
    </row>
    <row r="96" spans="1:29" ht="13.5">
      <c r="A96" s="474"/>
      <c r="B96" s="474"/>
      <c r="C96" s="474"/>
      <c r="D96" s="475" t="s">
        <v>598</v>
      </c>
      <c r="E96" s="482">
        <v>77852942.88000001</v>
      </c>
      <c r="F96" s="475">
        <f t="shared" si="8"/>
        <v>0.5</v>
      </c>
      <c r="G96" s="483">
        <f t="shared" si="6"/>
        <v>38926471.440000005</v>
      </c>
      <c r="H96" s="479">
        <f t="shared" si="7"/>
        <v>3243872.6200000006</v>
      </c>
      <c r="I96" s="475"/>
      <c r="J96" s="475"/>
      <c r="K96" s="475"/>
      <c r="L96" s="475"/>
      <c r="M96" s="475"/>
      <c r="N96" s="475"/>
      <c r="O96" s="475"/>
      <c r="P96" s="475"/>
      <c r="Q96" s="475"/>
      <c r="R96" s="475"/>
      <c r="S96" s="475"/>
      <c r="T96" s="475"/>
      <c r="U96" s="475"/>
      <c r="V96" s="475"/>
      <c r="W96" s="475"/>
      <c r="X96" s="475"/>
      <c r="Y96" s="475"/>
      <c r="Z96" s="475"/>
      <c r="AA96" s="475"/>
      <c r="AB96" s="475"/>
      <c r="AC96" s="476"/>
    </row>
    <row r="97" spans="1:29" ht="13.5">
      <c r="A97" s="474"/>
      <c r="B97" s="474"/>
      <c r="C97" s="474"/>
      <c r="D97" s="475" t="s">
        <v>340</v>
      </c>
      <c r="E97" s="483">
        <f>SUM(E85:E96)</f>
        <v>205861177.88999999</v>
      </c>
      <c r="F97" s="475"/>
      <c r="G97" s="483">
        <f>SUM(G85:G96)</f>
        <v>576805451.40500009</v>
      </c>
      <c r="H97" s="479">
        <f>SUM(H85:H96)</f>
        <v>48067120.950416669</v>
      </c>
      <c r="I97" s="475"/>
      <c r="J97" s="475"/>
      <c r="K97" s="475"/>
      <c r="L97" s="475"/>
      <c r="M97" s="475"/>
      <c r="N97" s="475"/>
      <c r="O97" s="475"/>
      <c r="P97" s="475"/>
      <c r="Q97" s="475"/>
      <c r="R97" s="475"/>
      <c r="S97" s="475"/>
      <c r="T97" s="475"/>
      <c r="U97" s="475"/>
      <c r="V97" s="475"/>
      <c r="W97" s="475"/>
      <c r="X97" s="475"/>
      <c r="Y97" s="475"/>
      <c r="Z97" s="475"/>
      <c r="AA97" s="475"/>
      <c r="AB97" s="475"/>
      <c r="AC97" s="476"/>
    </row>
    <row r="98" spans="1:29" ht="13.5">
      <c r="A98" s="474"/>
      <c r="B98" s="474"/>
      <c r="C98" s="474"/>
      <c r="D98" s="504" t="s">
        <v>273</v>
      </c>
      <c r="E98" s="475"/>
      <c r="F98" s="475"/>
      <c r="G98" s="475"/>
      <c r="H98" s="483">
        <f>+H97</f>
        <v>48067120.950416669</v>
      </c>
      <c r="I98" s="475" t="str">
        <f>"Input to Formula Line "&amp;'ATT H-2A'!A42</f>
        <v>Input to Formula Line 21</v>
      </c>
      <c r="J98" s="475"/>
      <c r="K98" s="475"/>
      <c r="L98" s="1029"/>
      <c r="M98" s="479"/>
      <c r="N98" s="475"/>
      <c r="O98" s="479"/>
      <c r="P98" s="475"/>
      <c r="Q98" s="475"/>
      <c r="R98" s="475"/>
      <c r="S98" s="475"/>
      <c r="T98" s="475"/>
      <c r="U98" s="475"/>
      <c r="V98" s="475"/>
      <c r="W98" s="475"/>
      <c r="X98" s="475"/>
      <c r="Y98" s="475"/>
      <c r="Z98" s="475"/>
      <c r="AA98" s="475"/>
      <c r="AB98" s="475"/>
      <c r="AC98" s="476"/>
    </row>
    <row r="99" spans="1:29" ht="13.5">
      <c r="A99" s="474"/>
      <c r="B99" s="474"/>
      <c r="C99" s="474"/>
      <c r="D99" s="497"/>
      <c r="E99" s="475"/>
      <c r="F99" s="475"/>
      <c r="G99" s="475"/>
      <c r="H99" s="483"/>
      <c r="I99" s="475"/>
      <c r="J99" s="475"/>
      <c r="K99" s="475"/>
      <c r="L99" s="1029"/>
      <c r="M99" s="479"/>
      <c r="N99" s="475"/>
      <c r="O99" s="479"/>
      <c r="P99" s="475"/>
      <c r="Q99" s="475"/>
      <c r="R99" s="475"/>
      <c r="S99" s="475"/>
      <c r="T99" s="475"/>
      <c r="U99" s="475"/>
      <c r="V99" s="475"/>
      <c r="W99" s="475"/>
      <c r="X99" s="475"/>
      <c r="Y99" s="475"/>
      <c r="Z99" s="475"/>
      <c r="AA99" s="475"/>
      <c r="AB99" s="475"/>
      <c r="AC99" s="476"/>
    </row>
    <row r="100" spans="1:29" ht="13.5">
      <c r="A100" s="474"/>
      <c r="B100" s="474"/>
      <c r="C100" s="474"/>
      <c r="D100" s="581">
        <v>184599806.27489811</v>
      </c>
      <c r="E100" s="497" t="s">
        <v>662</v>
      </c>
      <c r="F100" s="475"/>
      <c r="G100" s="582" t="s">
        <v>271</v>
      </c>
      <c r="H100" s="500"/>
      <c r="I100" s="498"/>
      <c r="J100" s="475"/>
      <c r="K100" s="475"/>
      <c r="L100" s="475"/>
      <c r="M100" s="475"/>
      <c r="N100" s="475"/>
      <c r="O100" s="483"/>
      <c r="P100" s="475"/>
      <c r="Q100" s="475"/>
      <c r="R100" s="475"/>
      <c r="S100" s="475"/>
      <c r="T100" s="475"/>
      <c r="U100" s="475"/>
      <c r="V100" s="475"/>
      <c r="W100" s="475"/>
      <c r="X100" s="475"/>
      <c r="Y100" s="475"/>
      <c r="Z100" s="475"/>
      <c r="AA100" s="475"/>
      <c r="AB100" s="475"/>
      <c r="AC100" s="476"/>
    </row>
    <row r="101" spans="1:29" ht="13.5">
      <c r="B101" s="474"/>
      <c r="C101" s="474"/>
      <c r="E101" s="475"/>
      <c r="F101" s="475"/>
      <c r="G101" s="475" t="s">
        <v>679</v>
      </c>
      <c r="H101" s="500"/>
      <c r="I101" s="498"/>
      <c r="J101" s="475"/>
      <c r="K101" s="475"/>
      <c r="L101" s="475"/>
      <c r="M101" s="475"/>
      <c r="N101" s="475"/>
      <c r="O101" s="475"/>
      <c r="P101" s="475"/>
      <c r="Q101" s="475"/>
      <c r="R101" s="475"/>
      <c r="S101" s="475"/>
      <c r="T101" s="475"/>
      <c r="U101" s="475"/>
      <c r="V101" s="475"/>
      <c r="W101" s="475"/>
      <c r="X101" s="475"/>
      <c r="Y101" s="475"/>
      <c r="Z101" s="475"/>
      <c r="AA101" s="475"/>
      <c r="AB101" s="475"/>
      <c r="AC101" s="476"/>
    </row>
    <row r="102" spans="1:29" ht="13.5">
      <c r="A102" s="474"/>
      <c r="B102" s="474"/>
      <c r="C102" s="474"/>
      <c r="D102" s="497"/>
      <c r="E102" s="475"/>
      <c r="F102" s="475"/>
      <c r="G102" s="498"/>
      <c r="H102" s="500"/>
      <c r="I102" s="498"/>
      <c r="J102" s="475"/>
      <c r="K102" s="475"/>
      <c r="L102" s="475"/>
      <c r="M102" s="475"/>
      <c r="N102" s="475"/>
      <c r="O102" s="475"/>
      <c r="P102" s="475"/>
      <c r="Q102" s="475"/>
      <c r="R102" s="475"/>
      <c r="S102" s="475"/>
      <c r="T102" s="475"/>
      <c r="U102" s="475"/>
      <c r="V102" s="475"/>
      <c r="W102" s="475"/>
      <c r="X102" s="475"/>
      <c r="Y102" s="475"/>
      <c r="Z102" s="475"/>
      <c r="AA102" s="475"/>
      <c r="AB102" s="475"/>
      <c r="AC102" s="476"/>
    </row>
    <row r="103" spans="1:29" ht="15.75">
      <c r="A103" s="474"/>
      <c r="B103" s="474"/>
      <c r="C103" s="474"/>
      <c r="D103" s="497"/>
      <c r="E103" s="483">
        <f>+E97-106230286</f>
        <v>99630891.889999986</v>
      </c>
      <c r="F103" s="475"/>
      <c r="G103" s="498"/>
      <c r="H103" s="500"/>
      <c r="I103" s="498"/>
      <c r="J103" s="992"/>
      <c r="K103" s="475"/>
      <c r="L103" s="475"/>
      <c r="M103" s="475"/>
      <c r="N103" s="475"/>
      <c r="O103" s="475"/>
      <c r="P103" s="475"/>
      <c r="Q103" s="475"/>
      <c r="R103" s="475"/>
      <c r="S103" s="475"/>
      <c r="T103" s="475"/>
      <c r="U103" s="475"/>
      <c r="V103" s="475"/>
      <c r="W103" s="475"/>
      <c r="X103" s="475"/>
      <c r="Y103" s="475"/>
      <c r="Z103" s="475"/>
      <c r="AA103" s="475"/>
      <c r="AB103" s="475"/>
      <c r="AC103" s="476"/>
    </row>
    <row r="104" spans="1:29" ht="16.5">
      <c r="A104" s="474"/>
      <c r="B104" s="474"/>
      <c r="C104" s="474"/>
      <c r="D104" s="497"/>
      <c r="E104" s="475"/>
      <c r="F104" s="475"/>
      <c r="G104" s="498"/>
      <c r="H104" s="500"/>
      <c r="I104" s="498"/>
      <c r="J104" s="991"/>
      <c r="K104" s="475"/>
      <c r="L104" s="475"/>
      <c r="M104" s="475"/>
      <c r="N104" s="475"/>
      <c r="O104" s="475"/>
      <c r="P104" s="475"/>
      <c r="Q104" s="475"/>
      <c r="R104" s="475"/>
      <c r="S104" s="475"/>
      <c r="T104" s="475"/>
      <c r="U104" s="475"/>
      <c r="V104" s="475"/>
      <c r="W104" s="475"/>
      <c r="X104" s="475"/>
      <c r="Y104" s="475"/>
      <c r="Z104" s="475"/>
      <c r="AA104" s="475"/>
      <c r="AB104" s="475"/>
      <c r="AC104" s="476"/>
    </row>
    <row r="105" spans="1:29" ht="16.5">
      <c r="A105" s="474"/>
      <c r="B105" s="474"/>
      <c r="C105" s="474"/>
      <c r="D105" s="497"/>
      <c r="E105" s="475"/>
      <c r="F105" s="475"/>
      <c r="G105" s="475"/>
      <c r="H105" s="483"/>
      <c r="I105" s="475"/>
      <c r="J105" s="991"/>
      <c r="K105" s="475"/>
      <c r="L105" s="475"/>
      <c r="M105" s="475"/>
      <c r="N105" s="475"/>
      <c r="O105" s="475"/>
      <c r="P105" s="475"/>
      <c r="Q105" s="475"/>
      <c r="R105" s="475"/>
      <c r="S105" s="475"/>
      <c r="T105" s="475"/>
      <c r="U105" s="475"/>
      <c r="V105" s="475"/>
      <c r="W105" s="475"/>
      <c r="X105" s="475"/>
      <c r="Y105" s="475"/>
      <c r="Z105" s="475"/>
      <c r="AA105" s="475"/>
      <c r="AB105" s="475"/>
      <c r="AC105" s="476"/>
    </row>
    <row r="106" spans="1:29" ht="28.5" customHeight="1">
      <c r="A106" s="616">
        <f>A19</f>
        <v>9</v>
      </c>
      <c r="B106" s="616" t="str">
        <f>B19</f>
        <v>April</v>
      </c>
      <c r="C106" s="616" t="str">
        <f>C19</f>
        <v>Year 3</v>
      </c>
      <c r="D106" s="1152" t="str">
        <f>D19</f>
        <v>Reconciliation - TO adds the difference between the Reconciliation in Step 8 and the forecast in Line 5 with interest to the result of Step 7 (this difference is also added to Step 8 in the subsequent year)</v>
      </c>
      <c r="E106" s="1152"/>
      <c r="F106" s="1152"/>
      <c r="G106" s="1152"/>
      <c r="H106" s="1152"/>
      <c r="I106" s="475"/>
      <c r="J106" s="475"/>
      <c r="K106" s="475"/>
      <c r="L106" s="475"/>
      <c r="M106" s="475"/>
      <c r="N106" s="475"/>
      <c r="O106" s="475"/>
      <c r="P106" s="475"/>
      <c r="Q106" s="475"/>
      <c r="R106" s="475"/>
      <c r="S106" s="475"/>
      <c r="T106" s="475"/>
      <c r="U106" s="475"/>
      <c r="V106" s="475"/>
      <c r="W106" s="475"/>
      <c r="X106" s="475"/>
      <c r="Y106" s="475"/>
      <c r="Z106" s="475"/>
      <c r="AA106" s="475"/>
      <c r="AB106" s="475"/>
      <c r="AC106" s="476"/>
    </row>
    <row r="107" spans="1:29" ht="13.5">
      <c r="A107" s="474"/>
      <c r="B107" s="474"/>
      <c r="C107" s="474"/>
      <c r="D107" s="481"/>
      <c r="E107" s="475"/>
      <c r="F107" s="475"/>
      <c r="G107" s="475"/>
      <c r="H107" s="475"/>
      <c r="I107" s="475"/>
      <c r="J107" s="475"/>
      <c r="K107" s="475"/>
      <c r="L107" s="475"/>
      <c r="M107" s="475"/>
      <c r="N107" s="475"/>
      <c r="O107" s="475"/>
      <c r="P107" s="475"/>
      <c r="Q107" s="475"/>
      <c r="R107" s="475"/>
      <c r="S107" s="475"/>
      <c r="T107" s="475"/>
      <c r="U107" s="475"/>
      <c r="V107" s="475"/>
      <c r="W107" s="475"/>
      <c r="X107" s="475"/>
      <c r="Y107" s="475"/>
      <c r="Z107" s="475"/>
      <c r="AA107" s="475"/>
      <c r="AB107" s="475"/>
      <c r="AC107" s="476"/>
    </row>
    <row r="108" spans="1:29" ht="13.5">
      <c r="A108" s="474"/>
      <c r="B108" s="474"/>
      <c r="C108" s="474"/>
      <c r="D108" s="481" t="s">
        <v>660</v>
      </c>
      <c r="E108" s="475"/>
      <c r="F108" s="475" t="s">
        <v>661</v>
      </c>
      <c r="G108" s="475"/>
      <c r="H108" s="498"/>
      <c r="I108" s="475"/>
      <c r="J108" s="475"/>
      <c r="K108" s="475"/>
      <c r="L108" s="475"/>
      <c r="M108" s="475"/>
      <c r="N108" s="475"/>
      <c r="O108" s="475"/>
      <c r="P108" s="475"/>
      <c r="Q108" s="475"/>
      <c r="R108" s="475"/>
      <c r="S108" s="475"/>
      <c r="T108" s="475"/>
      <c r="U108" s="475"/>
      <c r="V108" s="475"/>
      <c r="W108" s="475"/>
      <c r="X108" s="475"/>
      <c r="Y108" s="475"/>
      <c r="Z108" s="475"/>
      <c r="AA108" s="475"/>
      <c r="AB108" s="475"/>
      <c r="AC108" s="476"/>
    </row>
    <row r="109" spans="1:29" ht="13.5">
      <c r="A109" s="474"/>
      <c r="B109" s="474"/>
      <c r="C109" s="474"/>
      <c r="D109" s="483">
        <f>+D100</f>
        <v>184599806.27489811</v>
      </c>
      <c r="E109" s="474" t="str">
        <f>"-"</f>
        <v>-</v>
      </c>
      <c r="F109" s="524">
        <f>+D52</f>
        <v>177319887.02903143</v>
      </c>
      <c r="G109" s="474" t="str">
        <f>"="</f>
        <v>=</v>
      </c>
      <c r="H109" s="500">
        <f>+D109-F109</f>
        <v>7279919.2458666861</v>
      </c>
      <c r="I109" s="475"/>
      <c r="J109" s="475"/>
      <c r="K109" s="475"/>
      <c r="L109" s="475"/>
      <c r="M109" s="475"/>
      <c r="N109" s="475"/>
      <c r="O109" s="475"/>
      <c r="P109" s="475"/>
      <c r="Q109" s="475"/>
      <c r="R109" s="475"/>
      <c r="S109" s="475"/>
      <c r="T109" s="475"/>
      <c r="U109" s="475"/>
      <c r="V109" s="475"/>
      <c r="W109" s="475"/>
      <c r="X109" s="475"/>
      <c r="Y109" s="475"/>
      <c r="Z109" s="475"/>
      <c r="AA109" s="475"/>
      <c r="AB109" s="475"/>
      <c r="AC109" s="476"/>
    </row>
    <row r="110" spans="1:29" ht="13.5">
      <c r="A110" s="474"/>
      <c r="B110" s="474"/>
      <c r="C110" s="474"/>
      <c r="D110" s="487"/>
      <c r="E110" s="474"/>
      <c r="F110" s="483"/>
      <c r="G110" s="474"/>
      <c r="H110" s="500"/>
      <c r="I110" s="475"/>
      <c r="J110" s="475"/>
      <c r="K110" s="475"/>
      <c r="L110" s="475"/>
      <c r="M110" s="475"/>
      <c r="N110" s="475"/>
      <c r="O110" s="475"/>
      <c r="P110" s="475"/>
      <c r="Q110" s="475"/>
      <c r="R110" s="475"/>
      <c r="S110" s="475"/>
      <c r="T110" s="475"/>
      <c r="U110" s="475"/>
      <c r="V110" s="475"/>
      <c r="W110" s="475"/>
      <c r="X110" s="475"/>
      <c r="Y110" s="475"/>
      <c r="Z110" s="475"/>
      <c r="AA110" s="475"/>
      <c r="AB110" s="475"/>
      <c r="AC110" s="476"/>
    </row>
    <row r="111" spans="1:29" ht="13.5">
      <c r="A111" s="474"/>
      <c r="B111" s="474"/>
      <c r="C111" s="474"/>
      <c r="D111" s="503" t="s">
        <v>600</v>
      </c>
      <c r="E111" s="474"/>
      <c r="F111" s="483"/>
      <c r="G111" s="474"/>
      <c r="H111" s="483"/>
      <c r="I111" s="475"/>
      <c r="J111" s="475"/>
      <c r="K111" s="475"/>
      <c r="L111" s="475"/>
      <c r="M111" s="475"/>
      <c r="N111" s="475"/>
      <c r="O111" s="475"/>
      <c r="P111" s="475"/>
      <c r="Q111" s="475"/>
      <c r="R111" s="475"/>
      <c r="S111" s="475"/>
      <c r="T111" s="475"/>
      <c r="U111" s="475"/>
      <c r="V111" s="475"/>
      <c r="W111" s="475"/>
      <c r="X111" s="475"/>
      <c r="Y111" s="475"/>
      <c r="Z111" s="475"/>
      <c r="AA111" s="475"/>
      <c r="AB111" s="475"/>
      <c r="AC111" s="476"/>
    </row>
    <row r="112" spans="1:29" ht="13.5">
      <c r="A112" s="474"/>
      <c r="B112" s="474"/>
      <c r="C112" s="474"/>
      <c r="D112" s="503" t="s">
        <v>641</v>
      </c>
      <c r="E112" s="474"/>
      <c r="F112" s="495">
        <v>3.0000000000000001E-3</v>
      </c>
      <c r="G112" s="474"/>
      <c r="H112" s="483"/>
      <c r="I112" s="475"/>
      <c r="J112" s="475"/>
      <c r="K112" s="475"/>
      <c r="L112" s="475"/>
      <c r="M112" s="475"/>
      <c r="N112" s="475"/>
      <c r="O112" s="475"/>
      <c r="P112" s="475"/>
      <c r="Q112" s="475"/>
      <c r="R112" s="475"/>
      <c r="S112" s="475"/>
      <c r="T112" s="475"/>
      <c r="U112" s="475"/>
      <c r="V112" s="475"/>
      <c r="W112" s="475"/>
      <c r="X112" s="475"/>
      <c r="Y112" s="475"/>
      <c r="Z112" s="475"/>
      <c r="AA112" s="475"/>
      <c r="AB112" s="475"/>
      <c r="AC112" s="476"/>
    </row>
    <row r="113" spans="1:29" ht="13.5">
      <c r="A113" s="474"/>
      <c r="B113" s="474"/>
      <c r="C113" s="474"/>
      <c r="D113" s="488" t="s">
        <v>579</v>
      </c>
      <c r="E113" s="474" t="s">
        <v>601</v>
      </c>
      <c r="F113" s="474" t="s">
        <v>602</v>
      </c>
      <c r="G113" s="488" t="s">
        <v>603</v>
      </c>
      <c r="H113" s="474"/>
      <c r="I113" s="488" t="s">
        <v>604</v>
      </c>
      <c r="J113" s="474" t="s">
        <v>605</v>
      </c>
      <c r="K113" s="475"/>
      <c r="L113" s="475"/>
      <c r="M113" s="475"/>
      <c r="N113" s="475"/>
      <c r="O113" s="475"/>
      <c r="P113" s="475"/>
      <c r="Q113" s="475"/>
      <c r="R113" s="475"/>
      <c r="S113" s="475"/>
      <c r="T113" s="475"/>
      <c r="U113" s="475"/>
      <c r="V113" s="475"/>
      <c r="W113" s="475"/>
      <c r="X113" s="475"/>
      <c r="Y113" s="475"/>
      <c r="Z113" s="475"/>
      <c r="AA113" s="475"/>
      <c r="AB113" s="475"/>
      <c r="AC113" s="476"/>
    </row>
    <row r="114" spans="1:29" ht="13.5">
      <c r="A114" s="474"/>
      <c r="B114" s="474"/>
      <c r="C114" s="474"/>
      <c r="D114" s="474"/>
      <c r="E114" s="474"/>
      <c r="F114" s="474"/>
      <c r="G114" s="474" t="s">
        <v>606</v>
      </c>
      <c r="H114" s="474" t="s">
        <v>607</v>
      </c>
      <c r="I114" s="474"/>
      <c r="J114" s="474"/>
      <c r="K114" s="475"/>
      <c r="L114" s="475"/>
      <c r="M114" s="475"/>
      <c r="N114" s="475"/>
      <c r="O114" s="475"/>
      <c r="P114" s="475"/>
      <c r="Q114" s="475"/>
      <c r="R114" s="475"/>
      <c r="S114" s="475"/>
      <c r="T114" s="475"/>
      <c r="U114" s="475"/>
      <c r="V114" s="475"/>
      <c r="W114" s="475"/>
      <c r="X114" s="475"/>
      <c r="Y114" s="475"/>
      <c r="Z114" s="475"/>
      <c r="AA114" s="475"/>
      <c r="AB114" s="475"/>
      <c r="AC114" s="476"/>
    </row>
    <row r="115" spans="1:29" ht="13.5">
      <c r="A115" s="474"/>
      <c r="B115" s="474"/>
      <c r="C115" s="474"/>
      <c r="D115" s="475" t="s">
        <v>592</v>
      </c>
      <c r="E115" s="475">
        <v>2005</v>
      </c>
      <c r="F115" s="479">
        <f>+H109/12</f>
        <v>606659.93715555721</v>
      </c>
      <c r="G115" s="484">
        <f>+F112</f>
        <v>3.0000000000000001E-3</v>
      </c>
      <c r="H115" s="475">
        <v>11.5</v>
      </c>
      <c r="I115" s="479">
        <f t="shared" ref="I115:I126" si="9">+H115*G115*F115</f>
        <v>20929.767831866724</v>
      </c>
      <c r="J115" s="479">
        <f t="shared" ref="J115:J126" si="10">+F115+I115</f>
        <v>627589.70498742396</v>
      </c>
      <c r="K115" s="475"/>
      <c r="L115" s="475"/>
      <c r="M115" s="475"/>
      <c r="N115" s="475"/>
      <c r="O115" s="475"/>
      <c r="P115" s="475"/>
      <c r="Q115" s="475"/>
      <c r="R115" s="475"/>
      <c r="S115" s="475"/>
      <c r="T115" s="475"/>
      <c r="U115" s="475"/>
      <c r="V115" s="475"/>
      <c r="W115" s="475"/>
      <c r="X115" s="475"/>
      <c r="Y115" s="475"/>
      <c r="Z115" s="475"/>
      <c r="AA115" s="475"/>
      <c r="AB115" s="475"/>
      <c r="AC115" s="476"/>
    </row>
    <row r="116" spans="1:29" ht="13.5">
      <c r="A116" s="474"/>
      <c r="B116" s="474"/>
      <c r="C116" s="474"/>
      <c r="D116" s="475" t="s">
        <v>593</v>
      </c>
      <c r="E116" s="475">
        <f t="shared" ref="E116:G121" si="11">+E115</f>
        <v>2005</v>
      </c>
      <c r="F116" s="483">
        <f t="shared" si="11"/>
        <v>606659.93715555721</v>
      </c>
      <c r="G116" s="489">
        <f t="shared" si="11"/>
        <v>3.0000000000000001E-3</v>
      </c>
      <c r="H116" s="475">
        <f t="shared" ref="H116:H126" si="12">+H115-1</f>
        <v>10.5</v>
      </c>
      <c r="I116" s="479">
        <f t="shared" si="9"/>
        <v>19109.788020400054</v>
      </c>
      <c r="J116" s="479">
        <f t="shared" si="10"/>
        <v>625769.72517595731</v>
      </c>
      <c r="K116" s="475"/>
      <c r="L116" s="475"/>
      <c r="M116" s="475"/>
      <c r="N116" s="475"/>
      <c r="O116" s="475"/>
      <c r="P116" s="475"/>
      <c r="Q116" s="475"/>
      <c r="R116" s="475"/>
      <c r="S116" s="475"/>
      <c r="T116" s="475"/>
      <c r="U116" s="475"/>
      <c r="V116" s="475"/>
      <c r="W116" s="475"/>
      <c r="X116" s="475"/>
      <c r="Y116" s="475"/>
      <c r="Z116" s="475"/>
      <c r="AA116" s="475"/>
      <c r="AB116" s="475"/>
      <c r="AC116" s="476"/>
    </row>
    <row r="117" spans="1:29" ht="13.5">
      <c r="A117" s="474"/>
      <c r="B117" s="474"/>
      <c r="C117" s="474"/>
      <c r="D117" s="475" t="s">
        <v>594</v>
      </c>
      <c r="E117" s="475">
        <f t="shared" si="11"/>
        <v>2005</v>
      </c>
      <c r="F117" s="483">
        <f t="shared" si="11"/>
        <v>606659.93715555721</v>
      </c>
      <c r="G117" s="489">
        <f t="shared" si="11"/>
        <v>3.0000000000000001E-3</v>
      </c>
      <c r="H117" s="475">
        <f t="shared" si="12"/>
        <v>9.5</v>
      </c>
      <c r="I117" s="479">
        <f t="shared" si="9"/>
        <v>17289.80820893338</v>
      </c>
      <c r="J117" s="479">
        <f t="shared" si="10"/>
        <v>623949.74536449055</v>
      </c>
      <c r="K117" s="475"/>
      <c r="L117" s="475"/>
      <c r="M117" s="475"/>
      <c r="N117" s="475"/>
      <c r="O117" s="475"/>
      <c r="P117" s="475"/>
      <c r="Q117" s="475"/>
      <c r="R117" s="475"/>
      <c r="S117" s="475"/>
      <c r="T117" s="475"/>
      <c r="U117" s="475"/>
      <c r="V117" s="475"/>
      <c r="W117" s="475"/>
      <c r="X117" s="475"/>
      <c r="Y117" s="475"/>
      <c r="Z117" s="475"/>
      <c r="AA117" s="475"/>
      <c r="AB117" s="475"/>
      <c r="AC117" s="476"/>
    </row>
    <row r="118" spans="1:29" ht="13.5">
      <c r="A118" s="474"/>
      <c r="B118" s="474"/>
      <c r="C118" s="474"/>
      <c r="D118" s="475" t="s">
        <v>595</v>
      </c>
      <c r="E118" s="475">
        <f t="shared" si="11"/>
        <v>2005</v>
      </c>
      <c r="F118" s="483">
        <f t="shared" si="11"/>
        <v>606659.93715555721</v>
      </c>
      <c r="G118" s="489">
        <f t="shared" si="11"/>
        <v>3.0000000000000001E-3</v>
      </c>
      <c r="H118" s="475">
        <f t="shared" si="12"/>
        <v>8.5</v>
      </c>
      <c r="I118" s="479">
        <f t="shared" si="9"/>
        <v>15469.82839746671</v>
      </c>
      <c r="J118" s="479">
        <f t="shared" si="10"/>
        <v>622129.7655530239</v>
      </c>
      <c r="K118" s="475"/>
      <c r="L118" s="475"/>
      <c r="M118" s="475"/>
      <c r="N118" s="475"/>
      <c r="O118" s="475"/>
      <c r="P118" s="475"/>
      <c r="Q118" s="475"/>
      <c r="R118" s="475"/>
      <c r="S118" s="475"/>
      <c r="T118" s="475"/>
      <c r="U118" s="475"/>
      <c r="V118" s="475"/>
      <c r="W118" s="475"/>
      <c r="X118" s="475"/>
      <c r="Y118" s="475"/>
      <c r="Z118" s="475"/>
      <c r="AA118" s="475"/>
      <c r="AB118" s="475"/>
      <c r="AC118" s="476"/>
    </row>
    <row r="119" spans="1:29" ht="13.5">
      <c r="A119" s="474"/>
      <c r="B119" s="474"/>
      <c r="C119" s="474"/>
      <c r="D119" s="475" t="s">
        <v>596</v>
      </c>
      <c r="E119" s="475">
        <f t="shared" si="11"/>
        <v>2005</v>
      </c>
      <c r="F119" s="483">
        <f t="shared" si="11"/>
        <v>606659.93715555721</v>
      </c>
      <c r="G119" s="489">
        <f t="shared" si="11"/>
        <v>3.0000000000000001E-3</v>
      </c>
      <c r="H119" s="475">
        <f t="shared" si="12"/>
        <v>7.5</v>
      </c>
      <c r="I119" s="479">
        <f t="shared" si="9"/>
        <v>13649.848586000036</v>
      </c>
      <c r="J119" s="479">
        <f t="shared" si="10"/>
        <v>620309.78574155725</v>
      </c>
      <c r="K119" s="475"/>
      <c r="L119" s="475"/>
      <c r="M119" s="475"/>
      <c r="N119" s="475"/>
      <c r="O119" s="475"/>
      <c r="P119" s="475"/>
      <c r="Q119" s="475"/>
      <c r="R119" s="475"/>
      <c r="S119" s="475"/>
      <c r="T119" s="475"/>
      <c r="U119" s="475"/>
      <c r="V119" s="475"/>
      <c r="W119" s="475"/>
      <c r="X119" s="475"/>
      <c r="Y119" s="475"/>
      <c r="Z119" s="475"/>
      <c r="AA119" s="475"/>
      <c r="AB119" s="475"/>
      <c r="AC119" s="476"/>
    </row>
    <row r="120" spans="1:29" ht="13.5">
      <c r="A120" s="474"/>
      <c r="B120" s="474"/>
      <c r="C120" s="474"/>
      <c r="D120" s="475" t="s">
        <v>597</v>
      </c>
      <c r="E120" s="475">
        <f t="shared" si="11"/>
        <v>2005</v>
      </c>
      <c r="F120" s="483">
        <f t="shared" si="11"/>
        <v>606659.93715555721</v>
      </c>
      <c r="G120" s="489">
        <f t="shared" si="11"/>
        <v>3.0000000000000001E-3</v>
      </c>
      <c r="H120" s="475">
        <f t="shared" si="12"/>
        <v>6.5</v>
      </c>
      <c r="I120" s="479">
        <f t="shared" si="9"/>
        <v>11829.868774533366</v>
      </c>
      <c r="J120" s="479">
        <f t="shared" si="10"/>
        <v>618489.8059300906</v>
      </c>
      <c r="K120" s="475"/>
      <c r="L120" s="475"/>
      <c r="M120" s="475"/>
      <c r="N120" s="475"/>
      <c r="O120" s="475"/>
      <c r="P120" s="475"/>
      <c r="Q120" s="475"/>
      <c r="R120" s="475"/>
      <c r="S120" s="475"/>
      <c r="T120" s="475"/>
      <c r="U120" s="475"/>
      <c r="V120" s="475"/>
      <c r="W120" s="475"/>
      <c r="X120" s="475"/>
      <c r="Y120" s="475"/>
      <c r="Z120" s="475"/>
      <c r="AA120" s="475"/>
      <c r="AB120" s="475"/>
      <c r="AC120" s="476"/>
    </row>
    <row r="121" spans="1:29" ht="13.5">
      <c r="A121" s="474"/>
      <c r="B121" s="474"/>
      <c r="C121" s="474"/>
      <c r="D121" s="475" t="s">
        <v>598</v>
      </c>
      <c r="E121" s="475">
        <f t="shared" si="11"/>
        <v>2005</v>
      </c>
      <c r="F121" s="483">
        <f t="shared" si="11"/>
        <v>606659.93715555721</v>
      </c>
      <c r="G121" s="489">
        <f t="shared" si="11"/>
        <v>3.0000000000000001E-3</v>
      </c>
      <c r="H121" s="475">
        <f t="shared" si="12"/>
        <v>5.5</v>
      </c>
      <c r="I121" s="479">
        <f t="shared" si="9"/>
        <v>10009.888963066694</v>
      </c>
      <c r="J121" s="479">
        <f t="shared" si="10"/>
        <v>616669.82611862395</v>
      </c>
      <c r="K121" s="475"/>
      <c r="L121" s="475"/>
      <c r="M121" s="475"/>
      <c r="N121" s="475"/>
      <c r="O121" s="475"/>
      <c r="P121" s="475"/>
      <c r="Q121" s="475"/>
      <c r="R121" s="475"/>
      <c r="S121" s="475"/>
      <c r="T121" s="475"/>
      <c r="U121" s="475"/>
      <c r="V121" s="475"/>
      <c r="W121" s="475"/>
      <c r="X121" s="475"/>
      <c r="Y121" s="475"/>
      <c r="Z121" s="475"/>
      <c r="AA121" s="475"/>
      <c r="AB121" s="475"/>
      <c r="AC121" s="476"/>
    </row>
    <row r="122" spans="1:29" ht="13.5">
      <c r="A122" s="474"/>
      <c r="B122" s="474"/>
      <c r="C122" s="474"/>
      <c r="D122" s="475" t="s">
        <v>588</v>
      </c>
      <c r="E122" s="475">
        <f>+E121+1</f>
        <v>2006</v>
      </c>
      <c r="F122" s="483">
        <f t="shared" ref="F122:G126" si="13">+F121</f>
        <v>606659.93715555721</v>
      </c>
      <c r="G122" s="489">
        <f t="shared" si="13"/>
        <v>3.0000000000000001E-3</v>
      </c>
      <c r="H122" s="475">
        <f t="shared" si="12"/>
        <v>4.5</v>
      </c>
      <c r="I122" s="479">
        <f t="shared" si="9"/>
        <v>8189.9091516000226</v>
      </c>
      <c r="J122" s="479">
        <f t="shared" si="10"/>
        <v>614849.84630715719</v>
      </c>
      <c r="K122" s="475"/>
      <c r="L122" s="475"/>
      <c r="M122" s="475"/>
      <c r="N122" s="475"/>
      <c r="O122" s="475"/>
      <c r="P122" s="475"/>
      <c r="Q122" s="475"/>
      <c r="R122" s="475"/>
      <c r="S122" s="475"/>
      <c r="T122" s="475"/>
      <c r="U122" s="475"/>
      <c r="V122" s="475"/>
      <c r="W122" s="475"/>
      <c r="X122" s="475"/>
      <c r="Y122" s="475"/>
      <c r="Z122" s="475"/>
      <c r="AA122" s="475"/>
      <c r="AB122" s="475"/>
      <c r="AC122" s="476"/>
    </row>
    <row r="123" spans="1:29" ht="13.5">
      <c r="A123" s="474"/>
      <c r="B123" s="474"/>
      <c r="C123" s="474"/>
      <c r="D123" s="475" t="s">
        <v>589</v>
      </c>
      <c r="E123" s="475">
        <f>+E122</f>
        <v>2006</v>
      </c>
      <c r="F123" s="483">
        <f t="shared" si="13"/>
        <v>606659.93715555721</v>
      </c>
      <c r="G123" s="489">
        <f t="shared" si="13"/>
        <v>3.0000000000000001E-3</v>
      </c>
      <c r="H123" s="475">
        <f t="shared" si="12"/>
        <v>3.5</v>
      </c>
      <c r="I123" s="479">
        <f t="shared" si="9"/>
        <v>6369.9293401333507</v>
      </c>
      <c r="J123" s="479">
        <f t="shared" si="10"/>
        <v>613029.86649569054</v>
      </c>
      <c r="K123" s="475"/>
      <c r="L123" s="475"/>
      <c r="M123" s="475"/>
      <c r="N123" s="475"/>
      <c r="O123" s="475"/>
      <c r="P123" s="475"/>
      <c r="Q123" s="475"/>
      <c r="R123" s="475"/>
      <c r="S123" s="475"/>
      <c r="T123" s="475"/>
      <c r="U123" s="475"/>
      <c r="V123" s="475"/>
      <c r="W123" s="475"/>
      <c r="X123" s="475"/>
      <c r="Y123" s="475"/>
      <c r="Z123" s="475"/>
      <c r="AA123" s="475"/>
      <c r="AB123" s="475"/>
      <c r="AC123" s="476"/>
    </row>
    <row r="124" spans="1:29" ht="13.5">
      <c r="A124" s="474"/>
      <c r="B124" s="474"/>
      <c r="C124" s="474"/>
      <c r="D124" s="475" t="s">
        <v>590</v>
      </c>
      <c r="E124" s="475">
        <f>+E123</f>
        <v>2006</v>
      </c>
      <c r="F124" s="483">
        <f t="shared" si="13"/>
        <v>606659.93715555721</v>
      </c>
      <c r="G124" s="489">
        <f t="shared" si="13"/>
        <v>3.0000000000000001E-3</v>
      </c>
      <c r="H124" s="475">
        <f t="shared" si="12"/>
        <v>2.5</v>
      </c>
      <c r="I124" s="479">
        <f t="shared" si="9"/>
        <v>4549.9495286666788</v>
      </c>
      <c r="J124" s="479">
        <f t="shared" si="10"/>
        <v>611209.88668422389</v>
      </c>
      <c r="K124" s="475"/>
      <c r="L124" s="475"/>
      <c r="M124" s="475"/>
      <c r="N124" s="475"/>
      <c r="O124" s="475"/>
      <c r="P124" s="475"/>
      <c r="Q124" s="475"/>
      <c r="R124" s="475"/>
      <c r="S124" s="475"/>
      <c r="T124" s="475"/>
      <c r="U124" s="475"/>
      <c r="V124" s="475"/>
      <c r="W124" s="475"/>
      <c r="X124" s="475"/>
      <c r="Y124" s="475"/>
      <c r="Z124" s="475"/>
      <c r="AA124" s="475"/>
      <c r="AB124" s="475"/>
      <c r="AC124" s="476"/>
    </row>
    <row r="125" spans="1:29" ht="13.5">
      <c r="A125" s="474"/>
      <c r="B125" s="474"/>
      <c r="C125" s="474"/>
      <c r="D125" s="475" t="s">
        <v>591</v>
      </c>
      <c r="E125" s="475">
        <f>+E124</f>
        <v>2006</v>
      </c>
      <c r="F125" s="483">
        <f t="shared" si="13"/>
        <v>606659.93715555721</v>
      </c>
      <c r="G125" s="489">
        <f t="shared" si="13"/>
        <v>3.0000000000000001E-3</v>
      </c>
      <c r="H125" s="475">
        <f t="shared" si="12"/>
        <v>1.5</v>
      </c>
      <c r="I125" s="479">
        <f t="shared" si="9"/>
        <v>2729.9697172000078</v>
      </c>
      <c r="J125" s="479">
        <f t="shared" si="10"/>
        <v>609389.90687275724</v>
      </c>
      <c r="K125" s="475"/>
      <c r="L125" s="475"/>
      <c r="M125" s="475"/>
      <c r="N125" s="475"/>
      <c r="O125" s="475"/>
      <c r="P125" s="475"/>
      <c r="Q125" s="475"/>
      <c r="R125" s="475"/>
      <c r="S125" s="475"/>
      <c r="T125" s="475"/>
      <c r="U125" s="475"/>
      <c r="V125" s="475"/>
      <c r="W125" s="475"/>
      <c r="X125" s="475"/>
      <c r="Y125" s="475"/>
      <c r="Z125" s="475"/>
      <c r="AA125" s="475"/>
      <c r="AB125" s="475"/>
      <c r="AC125" s="476"/>
    </row>
    <row r="126" spans="1:29" ht="13.5">
      <c r="A126" s="474"/>
      <c r="B126" s="474"/>
      <c r="C126" s="474"/>
      <c r="D126" s="475" t="s">
        <v>584</v>
      </c>
      <c r="E126" s="475">
        <f>+E125</f>
        <v>2006</v>
      </c>
      <c r="F126" s="483">
        <f t="shared" si="13"/>
        <v>606659.93715555721</v>
      </c>
      <c r="G126" s="489">
        <f t="shared" si="13"/>
        <v>3.0000000000000001E-3</v>
      </c>
      <c r="H126" s="475">
        <f t="shared" si="12"/>
        <v>0.5</v>
      </c>
      <c r="I126" s="479">
        <f t="shared" si="9"/>
        <v>909.98990573333583</v>
      </c>
      <c r="J126" s="479">
        <f t="shared" si="10"/>
        <v>607569.9270612906</v>
      </c>
      <c r="K126" s="475"/>
      <c r="L126" s="475"/>
      <c r="M126" s="475"/>
      <c r="N126" s="475"/>
      <c r="O126" s="475"/>
      <c r="P126" s="475"/>
      <c r="Q126" s="475"/>
      <c r="R126" s="475"/>
      <c r="S126" s="475"/>
      <c r="T126" s="475"/>
      <c r="U126" s="475"/>
      <c r="V126" s="475"/>
      <c r="W126" s="475"/>
      <c r="X126" s="475"/>
      <c r="Y126" s="475"/>
      <c r="Z126" s="475"/>
      <c r="AA126" s="475"/>
      <c r="AB126" s="475"/>
      <c r="AC126" s="476"/>
    </row>
    <row r="127" spans="1:29" ht="13.5">
      <c r="A127" s="474"/>
      <c r="B127" s="474"/>
      <c r="C127" s="474"/>
      <c r="D127" s="475" t="s">
        <v>340</v>
      </c>
      <c r="E127" s="475"/>
      <c r="F127" s="483">
        <f>SUM(F115:F126)</f>
        <v>7279919.2458666852</v>
      </c>
      <c r="G127" s="475"/>
      <c r="H127" s="475"/>
      <c r="I127" s="475"/>
      <c r="J127" s="479">
        <f>SUM(J115:J126)</f>
        <v>7410957.7922922866</v>
      </c>
      <c r="K127" s="475"/>
      <c r="L127" s="475"/>
      <c r="M127" s="475"/>
      <c r="N127" s="475"/>
      <c r="O127" s="475"/>
      <c r="P127" s="475"/>
      <c r="Q127" s="475"/>
      <c r="R127" s="475"/>
      <c r="S127" s="475"/>
      <c r="T127" s="475"/>
      <c r="U127" s="475"/>
      <c r="V127" s="475"/>
      <c r="W127" s="475"/>
      <c r="X127" s="475"/>
      <c r="Y127" s="475"/>
      <c r="Z127" s="475"/>
      <c r="AA127" s="475"/>
      <c r="AB127" s="475"/>
      <c r="AC127" s="476"/>
    </row>
    <row r="128" spans="1:29" ht="13.5">
      <c r="A128" s="474"/>
      <c r="B128" s="474"/>
      <c r="C128" s="474"/>
      <c r="D128" s="475"/>
      <c r="E128" s="475"/>
      <c r="F128" s="483"/>
      <c r="G128" s="475"/>
      <c r="H128" s="475"/>
      <c r="I128" s="475"/>
      <c r="J128" s="479"/>
      <c r="K128" s="483"/>
      <c r="L128" s="475"/>
      <c r="M128" s="475"/>
      <c r="N128" s="475"/>
      <c r="O128" s="475"/>
      <c r="P128" s="475"/>
      <c r="Q128" s="475"/>
      <c r="R128" s="475"/>
      <c r="S128" s="475"/>
      <c r="T128" s="475"/>
      <c r="U128" s="475"/>
      <c r="V128" s="475"/>
      <c r="W128" s="475"/>
      <c r="X128" s="475"/>
      <c r="Y128" s="475"/>
      <c r="Z128" s="475"/>
      <c r="AA128" s="475"/>
      <c r="AB128" s="475"/>
      <c r="AC128" s="476"/>
    </row>
    <row r="129" spans="1:29" ht="13.5">
      <c r="A129" s="474"/>
      <c r="B129" s="474"/>
      <c r="C129" s="474"/>
      <c r="D129" s="475"/>
      <c r="E129" s="475"/>
      <c r="F129" s="488" t="s">
        <v>608</v>
      </c>
      <c r="G129" s="474" t="s">
        <v>604</v>
      </c>
      <c r="H129" s="474" t="s">
        <v>609</v>
      </c>
      <c r="I129" s="474" t="s">
        <v>608</v>
      </c>
      <c r="J129" s="475"/>
      <c r="K129" s="483"/>
      <c r="L129" s="475"/>
      <c r="M129" s="475"/>
      <c r="N129" s="475"/>
      <c r="O129" s="475"/>
      <c r="P129" s="475"/>
      <c r="Q129" s="475"/>
      <c r="R129" s="475"/>
      <c r="S129" s="475"/>
      <c r="T129" s="475"/>
      <c r="U129" s="475"/>
      <c r="V129" s="475"/>
      <c r="W129" s="475"/>
      <c r="X129" s="475"/>
      <c r="Y129" s="475"/>
      <c r="Z129" s="475"/>
      <c r="AA129" s="475"/>
      <c r="AB129" s="475"/>
      <c r="AC129" s="476"/>
    </row>
    <row r="130" spans="1:29" ht="13.5">
      <c r="A130" s="474"/>
      <c r="B130" s="474"/>
      <c r="C130" s="474"/>
      <c r="D130" s="475" t="str">
        <f t="shared" ref="D130:D141" si="14">+D115</f>
        <v>Jun</v>
      </c>
      <c r="E130" s="475">
        <f>+E126</f>
        <v>2006</v>
      </c>
      <c r="F130" s="483">
        <f>+J127</f>
        <v>7410957.7922922866</v>
      </c>
      <c r="G130" s="489">
        <f>+G126</f>
        <v>3.0000000000000001E-3</v>
      </c>
      <c r="H130" s="479">
        <f>-PMT(G130,12,J127)</f>
        <v>629688.75728309189</v>
      </c>
      <c r="I130" s="479">
        <f t="shared" ref="I130:I141" si="15">+F130+F130*G130-H130</f>
        <v>6803501.9083860721</v>
      </c>
      <c r="J130" s="475"/>
      <c r="K130" s="483"/>
      <c r="L130" s="475"/>
      <c r="M130" s="475"/>
      <c r="N130" s="475"/>
      <c r="O130" s="475"/>
      <c r="P130" s="475"/>
      <c r="Q130" s="475"/>
      <c r="R130" s="475"/>
      <c r="S130" s="475"/>
      <c r="T130" s="475"/>
      <c r="U130" s="475"/>
      <c r="V130" s="475"/>
      <c r="W130" s="475"/>
      <c r="X130" s="475"/>
      <c r="Y130" s="475"/>
      <c r="Z130" s="475"/>
      <c r="AA130" s="475"/>
      <c r="AB130" s="475"/>
      <c r="AC130" s="476"/>
    </row>
    <row r="131" spans="1:29" ht="13.5">
      <c r="A131" s="474"/>
      <c r="B131" s="474"/>
      <c r="C131" s="474"/>
      <c r="D131" s="475" t="str">
        <f t="shared" si="14"/>
        <v>Jul</v>
      </c>
      <c r="E131" s="475">
        <f t="shared" ref="E131:E136" si="16">+E130</f>
        <v>2006</v>
      </c>
      <c r="F131" s="483">
        <f t="shared" ref="F131:F141" si="17">+I130</f>
        <v>6803501.9083860721</v>
      </c>
      <c r="G131" s="489">
        <f t="shared" ref="G131:G141" si="18">+G130</f>
        <v>3.0000000000000001E-3</v>
      </c>
      <c r="H131" s="483">
        <f t="shared" ref="H131:H141" si="19">+H130</f>
        <v>629688.75728309189</v>
      </c>
      <c r="I131" s="479">
        <f t="shared" si="15"/>
        <v>6194223.656828139</v>
      </c>
      <c r="J131" s="475"/>
      <c r="K131" s="475"/>
      <c r="L131" s="475"/>
      <c r="M131" s="475"/>
      <c r="N131" s="475"/>
      <c r="O131" s="475"/>
      <c r="P131" s="475"/>
      <c r="Q131" s="475"/>
      <c r="R131" s="475"/>
      <c r="S131" s="475"/>
      <c r="T131" s="475"/>
      <c r="U131" s="475"/>
      <c r="V131" s="475"/>
      <c r="W131" s="475"/>
      <c r="X131" s="475"/>
      <c r="Y131" s="475"/>
      <c r="Z131" s="475"/>
      <c r="AA131" s="475"/>
      <c r="AB131" s="475"/>
      <c r="AC131" s="476"/>
    </row>
    <row r="132" spans="1:29" ht="13.5">
      <c r="A132" s="474"/>
      <c r="B132" s="474"/>
      <c r="C132" s="474"/>
      <c r="D132" s="475" t="str">
        <f t="shared" si="14"/>
        <v>Aug</v>
      </c>
      <c r="E132" s="475">
        <f t="shared" si="16"/>
        <v>2006</v>
      </c>
      <c r="F132" s="483">
        <f t="shared" si="17"/>
        <v>6194223.656828139</v>
      </c>
      <c r="G132" s="489">
        <f t="shared" si="18"/>
        <v>3.0000000000000001E-3</v>
      </c>
      <c r="H132" s="483">
        <f t="shared" si="19"/>
        <v>629688.75728309189</v>
      </c>
      <c r="I132" s="479">
        <f t="shared" si="15"/>
        <v>5583117.570515532</v>
      </c>
      <c r="J132" s="475"/>
      <c r="K132" s="475"/>
      <c r="L132" s="475"/>
      <c r="M132" s="475"/>
      <c r="N132" s="475"/>
      <c r="O132" s="475"/>
      <c r="P132" s="475"/>
      <c r="Q132" s="475"/>
      <c r="R132" s="475"/>
      <c r="S132" s="475"/>
      <c r="T132" s="475"/>
      <c r="U132" s="475"/>
      <c r="V132" s="475"/>
      <c r="W132" s="475"/>
      <c r="X132" s="475"/>
      <c r="Y132" s="475"/>
      <c r="Z132" s="475"/>
      <c r="AA132" s="475"/>
      <c r="AB132" s="475"/>
      <c r="AC132" s="476"/>
    </row>
    <row r="133" spans="1:29" ht="13.5">
      <c r="A133" s="474"/>
      <c r="B133" s="474"/>
      <c r="C133" s="474"/>
      <c r="D133" s="475" t="str">
        <f t="shared" si="14"/>
        <v>Sep</v>
      </c>
      <c r="E133" s="475">
        <f t="shared" si="16"/>
        <v>2006</v>
      </c>
      <c r="F133" s="483">
        <f t="shared" si="17"/>
        <v>5583117.570515532</v>
      </c>
      <c r="G133" s="489">
        <f t="shared" si="18"/>
        <v>3.0000000000000001E-3</v>
      </c>
      <c r="H133" s="483">
        <f t="shared" si="19"/>
        <v>629688.75728309189</v>
      </c>
      <c r="I133" s="479">
        <f t="shared" si="15"/>
        <v>4970178.1659439867</v>
      </c>
      <c r="J133" s="475"/>
      <c r="K133" s="490"/>
      <c r="L133" s="475"/>
      <c r="M133" s="475"/>
      <c r="N133" s="475"/>
      <c r="O133" s="475"/>
      <c r="P133" s="475"/>
      <c r="Q133" s="475"/>
      <c r="R133" s="475"/>
      <c r="S133" s="475"/>
      <c r="T133" s="475"/>
      <c r="U133" s="475"/>
      <c r="V133" s="475"/>
      <c r="W133" s="475"/>
      <c r="X133" s="475"/>
      <c r="Y133" s="475"/>
      <c r="Z133" s="475"/>
      <c r="AA133" s="475"/>
      <c r="AB133" s="475"/>
      <c r="AC133" s="476"/>
    </row>
    <row r="134" spans="1:29" ht="13.5">
      <c r="A134" s="474"/>
      <c r="B134" s="474"/>
      <c r="C134" s="474"/>
      <c r="D134" s="475" t="str">
        <f t="shared" si="14"/>
        <v>Oct</v>
      </c>
      <c r="E134" s="475">
        <f t="shared" si="16"/>
        <v>2006</v>
      </c>
      <c r="F134" s="483">
        <f t="shared" si="17"/>
        <v>4970178.1659439867</v>
      </c>
      <c r="G134" s="489">
        <f t="shared" si="18"/>
        <v>3.0000000000000001E-3</v>
      </c>
      <c r="H134" s="483">
        <f t="shared" si="19"/>
        <v>629688.75728309189</v>
      </c>
      <c r="I134" s="479">
        <f t="shared" si="15"/>
        <v>4355399.9431587271</v>
      </c>
      <c r="J134" s="475"/>
      <c r="K134" s="489"/>
      <c r="L134" s="475"/>
      <c r="M134" s="475"/>
      <c r="N134" s="475"/>
      <c r="O134" s="475"/>
      <c r="P134" s="475"/>
      <c r="Q134" s="475"/>
      <c r="R134" s="475"/>
      <c r="S134" s="475"/>
      <c r="T134" s="475"/>
      <c r="U134" s="475"/>
      <c r="V134" s="475"/>
      <c r="W134" s="475"/>
      <c r="X134" s="475"/>
      <c r="Y134" s="475"/>
      <c r="Z134" s="475"/>
      <c r="AA134" s="475"/>
      <c r="AB134" s="475"/>
      <c r="AC134" s="476"/>
    </row>
    <row r="135" spans="1:29" ht="13.5">
      <c r="A135" s="474"/>
      <c r="B135" s="474"/>
      <c r="C135" s="474"/>
      <c r="D135" s="475" t="str">
        <f t="shared" si="14"/>
        <v>Nov</v>
      </c>
      <c r="E135" s="475">
        <f t="shared" si="16"/>
        <v>2006</v>
      </c>
      <c r="F135" s="483">
        <f t="shared" si="17"/>
        <v>4355399.9431587271</v>
      </c>
      <c r="G135" s="489">
        <f t="shared" si="18"/>
        <v>3.0000000000000001E-3</v>
      </c>
      <c r="H135" s="483">
        <f t="shared" si="19"/>
        <v>629688.75728309189</v>
      </c>
      <c r="I135" s="479">
        <f t="shared" si="15"/>
        <v>3738777.3857051111</v>
      </c>
      <c r="J135" s="475"/>
      <c r="K135" s="475"/>
      <c r="L135" s="475"/>
      <c r="M135" s="475"/>
      <c r="N135" s="475"/>
      <c r="O135" s="475"/>
      <c r="P135" s="475"/>
      <c r="Q135" s="475"/>
      <c r="R135" s="475"/>
      <c r="S135" s="475"/>
      <c r="T135" s="475"/>
      <c r="U135" s="475"/>
      <c r="V135" s="475"/>
      <c r="W135" s="475"/>
      <c r="X135" s="475"/>
      <c r="Y135" s="475"/>
      <c r="Z135" s="475"/>
      <c r="AA135" s="475"/>
      <c r="AB135" s="475"/>
      <c r="AC135" s="476"/>
    </row>
    <row r="136" spans="1:29" ht="13.5">
      <c r="A136" s="474"/>
      <c r="B136" s="474"/>
      <c r="C136" s="474"/>
      <c r="D136" s="475" t="str">
        <f t="shared" si="14"/>
        <v>Dec</v>
      </c>
      <c r="E136" s="475">
        <f t="shared" si="16"/>
        <v>2006</v>
      </c>
      <c r="F136" s="483">
        <f t="shared" si="17"/>
        <v>3738777.3857051111</v>
      </c>
      <c r="G136" s="489">
        <f t="shared" si="18"/>
        <v>3.0000000000000001E-3</v>
      </c>
      <c r="H136" s="483">
        <f t="shared" si="19"/>
        <v>629688.75728309189</v>
      </c>
      <c r="I136" s="479">
        <f t="shared" si="15"/>
        <v>3120304.9605791345</v>
      </c>
      <c r="J136" s="475"/>
      <c r="K136" s="475"/>
      <c r="L136" s="475"/>
      <c r="M136" s="475"/>
      <c r="N136" s="475"/>
      <c r="O136" s="475"/>
      <c r="P136" s="475"/>
      <c r="Q136" s="475"/>
      <c r="R136" s="475"/>
      <c r="S136" s="475"/>
      <c r="T136" s="475"/>
      <c r="U136" s="475"/>
      <c r="V136" s="475"/>
      <c r="W136" s="475"/>
      <c r="X136" s="475"/>
      <c r="Y136" s="475"/>
      <c r="Z136" s="475"/>
      <c r="AA136" s="475"/>
      <c r="AB136" s="475"/>
      <c r="AC136" s="476"/>
    </row>
    <row r="137" spans="1:29" ht="13.5">
      <c r="A137" s="474"/>
      <c r="B137" s="474"/>
      <c r="C137" s="474"/>
      <c r="D137" s="475" t="str">
        <f t="shared" si="14"/>
        <v>Jan</v>
      </c>
      <c r="E137" s="475">
        <f>+E136+1</f>
        <v>2007</v>
      </c>
      <c r="F137" s="483">
        <f t="shared" si="17"/>
        <v>3120304.9605791345</v>
      </c>
      <c r="G137" s="489">
        <f t="shared" si="18"/>
        <v>3.0000000000000001E-3</v>
      </c>
      <c r="H137" s="483">
        <f t="shared" si="19"/>
        <v>629688.75728309189</v>
      </c>
      <c r="I137" s="479">
        <f t="shared" si="15"/>
        <v>2499977.11817778</v>
      </c>
      <c r="J137" s="475"/>
      <c r="K137" s="475"/>
      <c r="L137" s="475"/>
      <c r="M137" s="475"/>
      <c r="N137" s="475"/>
      <c r="O137" s="475"/>
      <c r="P137" s="475"/>
      <c r="Q137" s="475"/>
      <c r="R137" s="475"/>
      <c r="S137" s="475"/>
      <c r="T137" s="475"/>
      <c r="U137" s="475"/>
      <c r="V137" s="475"/>
      <c r="W137" s="475"/>
      <c r="X137" s="475"/>
      <c r="Y137" s="475"/>
      <c r="Z137" s="475"/>
      <c r="AA137" s="475"/>
      <c r="AB137" s="475"/>
      <c r="AC137" s="476"/>
    </row>
    <row r="138" spans="1:29" ht="13.5">
      <c r="A138" s="474"/>
      <c r="B138" s="474"/>
      <c r="C138" s="474"/>
      <c r="D138" s="475" t="str">
        <f t="shared" si="14"/>
        <v>Feb</v>
      </c>
      <c r="E138" s="475">
        <f>+E137</f>
        <v>2007</v>
      </c>
      <c r="F138" s="483">
        <f t="shared" si="17"/>
        <v>2499977.11817778</v>
      </c>
      <c r="G138" s="489">
        <f t="shared" si="18"/>
        <v>3.0000000000000001E-3</v>
      </c>
      <c r="H138" s="483">
        <f t="shared" si="19"/>
        <v>629688.75728309189</v>
      </c>
      <c r="I138" s="479">
        <f t="shared" si="15"/>
        <v>1877788.2922492214</v>
      </c>
      <c r="J138" s="475"/>
      <c r="K138" s="475"/>
      <c r="L138" s="475"/>
      <c r="M138" s="475"/>
      <c r="N138" s="475"/>
      <c r="O138" s="475"/>
      <c r="P138" s="475"/>
      <c r="Q138" s="475"/>
      <c r="R138" s="475"/>
      <c r="S138" s="475"/>
      <c r="T138" s="475"/>
      <c r="U138" s="475"/>
      <c r="V138" s="475"/>
      <c r="W138" s="475"/>
      <c r="X138" s="475"/>
      <c r="Y138" s="475"/>
      <c r="Z138" s="475"/>
      <c r="AA138" s="475"/>
      <c r="AB138" s="475"/>
      <c r="AC138" s="476"/>
    </row>
    <row r="139" spans="1:29" ht="13.5">
      <c r="A139" s="474"/>
      <c r="B139" s="474"/>
      <c r="C139" s="474"/>
      <c r="D139" s="475" t="str">
        <f t="shared" si="14"/>
        <v>Mar</v>
      </c>
      <c r="E139" s="475">
        <f>+E138</f>
        <v>2007</v>
      </c>
      <c r="F139" s="483">
        <f t="shared" si="17"/>
        <v>1877788.2922492214</v>
      </c>
      <c r="G139" s="489">
        <f t="shared" si="18"/>
        <v>3.0000000000000001E-3</v>
      </c>
      <c r="H139" s="483">
        <f t="shared" si="19"/>
        <v>629688.75728309189</v>
      </c>
      <c r="I139" s="479">
        <f t="shared" si="15"/>
        <v>1253732.8998428769</v>
      </c>
      <c r="J139" s="475"/>
      <c r="K139" s="475"/>
      <c r="L139" s="475"/>
      <c r="M139" s="475"/>
      <c r="N139" s="475"/>
      <c r="O139" s="475"/>
      <c r="P139" s="475"/>
      <c r="Q139" s="475"/>
      <c r="R139" s="475"/>
      <c r="S139" s="475"/>
      <c r="T139" s="475"/>
      <c r="U139" s="475"/>
      <c r="V139" s="475"/>
      <c r="W139" s="475"/>
      <c r="X139" s="475"/>
      <c r="Y139" s="475"/>
      <c r="Z139" s="475"/>
      <c r="AA139" s="475"/>
      <c r="AB139" s="475"/>
      <c r="AC139" s="476"/>
    </row>
    <row r="140" spans="1:29" ht="13.5">
      <c r="A140" s="474"/>
      <c r="B140" s="474"/>
      <c r="C140" s="474"/>
      <c r="D140" s="475" t="str">
        <f t="shared" si="14"/>
        <v>Apr</v>
      </c>
      <c r="E140" s="475">
        <f>+E139</f>
        <v>2007</v>
      </c>
      <c r="F140" s="483">
        <f t="shared" si="17"/>
        <v>1253732.8998428769</v>
      </c>
      <c r="G140" s="489">
        <f t="shared" si="18"/>
        <v>3.0000000000000001E-3</v>
      </c>
      <c r="H140" s="483">
        <f t="shared" si="19"/>
        <v>629688.75728309189</v>
      </c>
      <c r="I140" s="479">
        <f t="shared" si="15"/>
        <v>627805.34125931363</v>
      </c>
      <c r="J140" s="475"/>
      <c r="K140" s="475"/>
      <c r="L140" s="475"/>
      <c r="M140" s="475"/>
      <c r="N140" s="475"/>
      <c r="O140" s="475"/>
      <c r="P140" s="475"/>
      <c r="Q140" s="475"/>
      <c r="R140" s="475"/>
      <c r="S140" s="475"/>
      <c r="T140" s="475"/>
      <c r="U140" s="475"/>
      <c r="V140" s="475"/>
      <c r="W140" s="475"/>
      <c r="X140" s="475"/>
      <c r="Y140" s="475"/>
      <c r="Z140" s="475"/>
      <c r="AA140" s="475"/>
      <c r="AB140" s="475"/>
      <c r="AC140" s="476"/>
    </row>
    <row r="141" spans="1:29" ht="13.5">
      <c r="A141" s="474"/>
      <c r="B141" s="474"/>
      <c r="C141" s="474"/>
      <c r="D141" s="475" t="str">
        <f t="shared" si="14"/>
        <v>May</v>
      </c>
      <c r="E141" s="475">
        <f>+E140</f>
        <v>2007</v>
      </c>
      <c r="F141" s="483">
        <f t="shared" si="17"/>
        <v>627805.34125931363</v>
      </c>
      <c r="G141" s="489">
        <f t="shared" si="18"/>
        <v>3.0000000000000001E-3</v>
      </c>
      <c r="H141" s="483">
        <f t="shared" si="19"/>
        <v>629688.75728309189</v>
      </c>
      <c r="I141" s="479">
        <f t="shared" si="15"/>
        <v>0</v>
      </c>
      <c r="J141" s="475"/>
      <c r="K141" s="475"/>
      <c r="L141" s="475"/>
      <c r="M141" s="475"/>
      <c r="N141" s="475"/>
      <c r="O141" s="475"/>
      <c r="P141" s="475"/>
      <c r="Q141" s="475"/>
      <c r="R141" s="475"/>
      <c r="S141" s="475"/>
      <c r="T141" s="475"/>
      <c r="U141" s="475"/>
      <c r="V141" s="475"/>
      <c r="W141" s="475"/>
      <c r="X141" s="475"/>
      <c r="Y141" s="475"/>
      <c r="Z141" s="475"/>
      <c r="AA141" s="475"/>
      <c r="AB141" s="475"/>
      <c r="AC141" s="476"/>
    </row>
    <row r="142" spans="1:29" ht="13.5">
      <c r="A142" s="474"/>
      <c r="B142" s="474"/>
      <c r="C142" s="474"/>
      <c r="D142" s="475" t="s">
        <v>663</v>
      </c>
      <c r="E142" s="475"/>
      <c r="F142" s="475"/>
      <c r="G142" s="475"/>
      <c r="H142" s="483">
        <f>SUM(H130:H141)</f>
        <v>7556265.0873971013</v>
      </c>
      <c r="I142" s="475"/>
      <c r="J142" s="475"/>
      <c r="K142" s="475"/>
      <c r="L142" s="475"/>
      <c r="M142" s="475"/>
      <c r="N142" s="475"/>
      <c r="O142" s="475"/>
      <c r="P142" s="475"/>
      <c r="Q142" s="475"/>
      <c r="R142" s="475"/>
      <c r="S142" s="475"/>
      <c r="T142" s="475"/>
      <c r="U142" s="475"/>
      <c r="V142" s="475"/>
      <c r="W142" s="475"/>
      <c r="X142" s="475"/>
      <c r="Y142" s="475"/>
      <c r="Z142" s="475"/>
      <c r="AA142" s="475"/>
      <c r="AB142" s="475"/>
      <c r="AC142" s="476"/>
    </row>
    <row r="143" spans="1:29" ht="13.5">
      <c r="A143" s="474"/>
      <c r="B143" s="474"/>
      <c r="C143" s="474"/>
      <c r="D143" s="475"/>
      <c r="E143" s="475"/>
      <c r="F143" s="475"/>
      <c r="G143" s="475"/>
      <c r="H143" s="475"/>
      <c r="I143" s="475"/>
      <c r="J143" s="475"/>
      <c r="K143" s="475"/>
      <c r="L143" s="475"/>
      <c r="M143" s="475"/>
      <c r="N143" s="475"/>
      <c r="O143" s="475"/>
      <c r="P143" s="475"/>
      <c r="Q143" s="475"/>
      <c r="R143" s="475"/>
      <c r="S143" s="475"/>
      <c r="T143" s="475"/>
      <c r="U143" s="475"/>
      <c r="V143" s="475"/>
      <c r="W143" s="475"/>
      <c r="X143" s="475"/>
      <c r="Y143" s="475"/>
      <c r="Z143" s="475"/>
      <c r="AA143" s="475"/>
      <c r="AB143" s="475"/>
      <c r="AC143" s="476"/>
    </row>
    <row r="144" spans="1:29" ht="13.5">
      <c r="B144" s="474"/>
      <c r="C144" s="474"/>
      <c r="D144" s="503" t="s">
        <v>680</v>
      </c>
      <c r="E144" s="474"/>
      <c r="G144" s="474"/>
      <c r="H144" s="483">
        <f>+H142</f>
        <v>7556265.0873971013</v>
      </c>
      <c r="I144" s="474"/>
      <c r="J144" s="483"/>
      <c r="K144" s="475"/>
      <c r="L144" s="475"/>
      <c r="M144" s="475"/>
      <c r="N144" s="475"/>
      <c r="O144" s="475"/>
      <c r="P144" s="475"/>
      <c r="Q144" s="475"/>
      <c r="R144" s="475"/>
      <c r="S144" s="475"/>
      <c r="T144" s="475"/>
      <c r="U144" s="475"/>
      <c r="V144" s="475"/>
      <c r="W144" s="475"/>
      <c r="X144" s="475"/>
      <c r="Y144" s="475"/>
      <c r="Z144" s="475"/>
      <c r="AA144" s="475"/>
      <c r="AB144" s="475"/>
      <c r="AC144" s="476"/>
    </row>
    <row r="145" spans="1:29" ht="13.5">
      <c r="B145" s="474"/>
      <c r="C145" s="474"/>
      <c r="D145" s="503" t="s">
        <v>276</v>
      </c>
      <c r="E145" s="474"/>
      <c r="G145" s="474"/>
      <c r="H145" s="580">
        <f>208306328+989288+'5 - Cost Support'!H225</f>
        <v>209295616</v>
      </c>
      <c r="I145" s="582" t="s">
        <v>686</v>
      </c>
      <c r="J145" s="500"/>
      <c r="K145" s="475"/>
      <c r="L145" s="475"/>
      <c r="M145" s="475"/>
      <c r="N145" s="475"/>
      <c r="O145" s="475"/>
      <c r="P145" s="475"/>
      <c r="Q145" s="475"/>
      <c r="R145" s="475"/>
      <c r="S145" s="475"/>
      <c r="T145" s="475"/>
      <c r="U145" s="475"/>
      <c r="V145" s="475"/>
      <c r="W145" s="475"/>
      <c r="X145" s="475"/>
      <c r="Y145" s="475"/>
      <c r="Z145" s="475"/>
      <c r="AA145" s="475"/>
      <c r="AB145" s="475"/>
      <c r="AC145" s="476"/>
    </row>
    <row r="146" spans="1:29" ht="13.5">
      <c r="B146" s="474"/>
      <c r="C146" s="474"/>
      <c r="D146" s="503" t="s">
        <v>275</v>
      </c>
      <c r="E146" s="474"/>
      <c r="G146" s="474"/>
      <c r="H146" s="483">
        <f>+H144+H145</f>
        <v>216851881.0873971</v>
      </c>
      <c r="I146" s="579"/>
      <c r="J146" s="500"/>
      <c r="K146" s="475"/>
      <c r="L146" s="475"/>
      <c r="M146" s="475"/>
      <c r="N146" s="475"/>
      <c r="O146" s="475"/>
      <c r="P146" s="475"/>
      <c r="Q146" s="475"/>
      <c r="R146" s="475"/>
      <c r="S146" s="475"/>
      <c r="T146" s="475"/>
      <c r="U146" s="475"/>
      <c r="V146" s="475"/>
      <c r="W146" s="475"/>
      <c r="X146" s="475"/>
      <c r="Y146" s="475"/>
      <c r="Z146" s="475"/>
      <c r="AA146" s="475"/>
      <c r="AB146" s="475"/>
      <c r="AC146" s="476"/>
    </row>
    <row r="147" spans="1:29" ht="13.5">
      <c r="B147" s="474"/>
      <c r="C147" s="474"/>
      <c r="D147" s="485"/>
      <c r="E147" s="474"/>
      <c r="G147" s="474"/>
      <c r="H147" s="483"/>
      <c r="I147" s="1062"/>
      <c r="J147" s="500"/>
      <c r="K147" s="475"/>
      <c r="L147" s="475"/>
      <c r="M147" s="475"/>
      <c r="N147" s="475"/>
      <c r="O147" s="475"/>
      <c r="P147" s="475"/>
      <c r="Q147" s="475"/>
      <c r="R147" s="475"/>
      <c r="S147" s="475"/>
      <c r="T147" s="475"/>
      <c r="U147" s="475"/>
      <c r="V147" s="475"/>
      <c r="W147" s="475"/>
      <c r="X147" s="475"/>
      <c r="Y147" s="475"/>
      <c r="Z147" s="475"/>
      <c r="AA147" s="475"/>
      <c r="AB147" s="475"/>
      <c r="AC147" s="476"/>
    </row>
    <row r="148" spans="1:29" ht="13.5">
      <c r="A148" s="474"/>
      <c r="B148" s="474"/>
      <c r="C148" s="474"/>
      <c r="D148" s="485"/>
      <c r="E148" s="474"/>
      <c r="F148" s="483"/>
      <c r="G148" s="474"/>
      <c r="H148" s="483"/>
      <c r="I148" s="1062"/>
      <c r="J148" s="500"/>
      <c r="K148" s="475"/>
      <c r="L148" s="475"/>
      <c r="M148" s="475"/>
      <c r="N148" s="475"/>
      <c r="O148" s="475"/>
      <c r="P148" s="475"/>
      <c r="Q148" s="475"/>
      <c r="R148" s="475"/>
      <c r="S148" s="475"/>
      <c r="T148" s="475"/>
      <c r="U148" s="475"/>
      <c r="V148" s="475"/>
      <c r="W148" s="475"/>
      <c r="X148" s="475"/>
      <c r="Y148" s="475"/>
      <c r="Z148" s="475"/>
      <c r="AA148" s="475"/>
      <c r="AB148" s="475"/>
      <c r="AC148" s="476"/>
    </row>
    <row r="149" spans="1:29" ht="13.5">
      <c r="A149" s="474">
        <f>A20</f>
        <v>10</v>
      </c>
      <c r="B149" s="474" t="str">
        <f>B20</f>
        <v>May</v>
      </c>
      <c r="C149" s="474" t="str">
        <f>C20</f>
        <v>Year 3</v>
      </c>
      <c r="D149" s="611" t="str">
        <f>D20</f>
        <v>Post results of Step 9 on PJM web site</v>
      </c>
      <c r="E149" s="475"/>
      <c r="F149" s="475"/>
      <c r="G149" s="475"/>
      <c r="H149" s="479"/>
      <c r="I149" s="1062"/>
      <c r="J149" s="498"/>
      <c r="K149" s="475"/>
      <c r="L149" s="475"/>
      <c r="M149" s="475"/>
      <c r="N149" s="475"/>
      <c r="O149" s="475"/>
      <c r="P149" s="475"/>
      <c r="Q149" s="475"/>
      <c r="R149" s="475"/>
      <c r="S149" s="475"/>
      <c r="T149" s="475"/>
      <c r="U149" s="475"/>
      <c r="V149" s="475"/>
      <c r="W149" s="475"/>
      <c r="X149" s="475"/>
      <c r="Y149" s="475"/>
      <c r="Z149" s="475"/>
      <c r="AA149" s="475"/>
      <c r="AB149" s="475"/>
      <c r="AC149" s="476"/>
    </row>
    <row r="150" spans="1:29" ht="13.5">
      <c r="A150" s="474"/>
      <c r="B150" s="474"/>
      <c r="C150" s="474"/>
      <c r="D150" s="480">
        <f>+H146</f>
        <v>216851881.0873971</v>
      </c>
      <c r="E150" s="475" t="str">
        <f>+D48</f>
        <v>Post On PJM Web Site Rev Req and Formula with Exhibits</v>
      </c>
      <c r="F150" s="475"/>
      <c r="G150" s="475"/>
      <c r="H150" s="479"/>
      <c r="I150" s="494"/>
      <c r="J150" s="498"/>
      <c r="K150" s="475"/>
      <c r="L150" s="475"/>
      <c r="M150" s="475"/>
      <c r="N150" s="475"/>
      <c r="O150" s="475"/>
      <c r="P150" s="475"/>
      <c r="Q150" s="475"/>
      <c r="R150" s="475"/>
      <c r="S150" s="475"/>
      <c r="T150" s="475"/>
      <c r="U150" s="475"/>
      <c r="V150" s="475"/>
      <c r="W150" s="475"/>
      <c r="X150" s="475"/>
      <c r="Y150" s="475"/>
      <c r="Z150" s="475"/>
      <c r="AA150" s="475"/>
      <c r="AB150" s="475"/>
      <c r="AC150" s="476"/>
    </row>
    <row r="151" spans="1:29" ht="13.5">
      <c r="A151" s="474"/>
      <c r="B151" s="474"/>
      <c r="C151" s="474"/>
      <c r="D151" s="486"/>
      <c r="E151" s="485"/>
      <c r="F151" s="475"/>
      <c r="G151" s="475"/>
      <c r="H151" s="475"/>
      <c r="I151" s="494"/>
      <c r="J151" s="498"/>
      <c r="K151" s="475"/>
      <c r="L151" s="475"/>
      <c r="M151" s="475"/>
      <c r="N151" s="475"/>
      <c r="O151" s="475"/>
      <c r="P151" s="475"/>
      <c r="Q151" s="475"/>
      <c r="R151" s="475"/>
      <c r="S151" s="475"/>
      <c r="T151" s="475"/>
      <c r="U151" s="475"/>
      <c r="V151" s="475"/>
      <c r="W151" s="475"/>
      <c r="X151" s="475"/>
      <c r="Y151" s="475"/>
      <c r="Z151" s="475"/>
      <c r="AA151" s="475"/>
      <c r="AB151" s="475"/>
      <c r="AC151" s="476"/>
    </row>
    <row r="152" spans="1:29" ht="13.5">
      <c r="A152" s="474"/>
      <c r="B152" s="474"/>
      <c r="C152" s="474"/>
      <c r="D152" s="480"/>
      <c r="E152" s="475"/>
      <c r="F152" s="475"/>
      <c r="G152" s="475"/>
      <c r="H152" s="479"/>
      <c r="I152" s="498"/>
      <c r="J152" s="498"/>
      <c r="K152" s="475"/>
      <c r="L152" s="475"/>
      <c r="M152" s="475"/>
      <c r="N152" s="475"/>
      <c r="O152" s="475"/>
      <c r="P152" s="475"/>
      <c r="Q152" s="475"/>
      <c r="R152" s="475"/>
      <c r="S152" s="475"/>
      <c r="T152" s="475"/>
      <c r="U152" s="475"/>
      <c r="V152" s="475"/>
      <c r="W152" s="475"/>
      <c r="X152" s="475"/>
      <c r="Y152" s="475"/>
      <c r="Z152" s="475"/>
      <c r="AA152" s="475"/>
      <c r="AB152" s="475"/>
      <c r="AC152" s="476"/>
    </row>
    <row r="153" spans="1:29" ht="13.5">
      <c r="A153" s="474">
        <f>A21</f>
        <v>11</v>
      </c>
      <c r="B153" s="474" t="str">
        <f>B21</f>
        <v>June</v>
      </c>
      <c r="C153" s="474" t="str">
        <f>C21</f>
        <v>Year 3</v>
      </c>
      <c r="D153" s="611" t="str">
        <f>D21</f>
        <v>Results of Step 9 go into effect for Rate Year 2 (e.g., June 1, 2006 - May 31, 2007)</v>
      </c>
      <c r="E153" s="475"/>
      <c r="F153" s="475"/>
      <c r="G153" s="475"/>
      <c r="H153" s="475"/>
      <c r="I153" s="475"/>
      <c r="J153" s="475"/>
      <c r="K153" s="475"/>
      <c r="L153" s="475"/>
      <c r="M153" s="475"/>
      <c r="N153" s="475"/>
      <c r="O153" s="475"/>
      <c r="P153" s="475"/>
      <c r="Q153" s="475"/>
      <c r="R153" s="475"/>
      <c r="S153" s="475"/>
      <c r="T153" s="475"/>
      <c r="U153" s="475"/>
      <c r="V153" s="475"/>
      <c r="W153" s="475"/>
      <c r="X153" s="475"/>
      <c r="Y153" s="475"/>
      <c r="Z153" s="475"/>
      <c r="AA153" s="475"/>
      <c r="AB153" s="475"/>
      <c r="AC153" s="476"/>
    </row>
    <row r="154" spans="1:29" ht="13.5">
      <c r="A154" s="474"/>
      <c r="B154" s="474"/>
      <c r="C154" s="474"/>
      <c r="D154" s="491">
        <f>+D150</f>
        <v>216851881.0873971</v>
      </c>
      <c r="E154" s="475"/>
      <c r="F154" s="475"/>
      <c r="G154" s="475"/>
      <c r="H154" s="475"/>
      <c r="I154" s="475"/>
      <c r="J154" s="475"/>
      <c r="K154" s="475"/>
      <c r="L154" s="475"/>
      <c r="M154" s="475"/>
      <c r="N154" s="475"/>
      <c r="O154" s="475"/>
      <c r="P154" s="475"/>
      <c r="Q154" s="475"/>
      <c r="R154" s="475"/>
      <c r="S154" s="475"/>
      <c r="T154" s="475"/>
      <c r="U154" s="475"/>
      <c r="V154" s="475"/>
      <c r="W154" s="475"/>
      <c r="X154" s="475"/>
      <c r="Y154" s="475"/>
      <c r="Z154" s="475"/>
      <c r="AA154" s="475"/>
      <c r="AB154" s="475"/>
      <c r="AC154" s="476"/>
    </row>
    <row r="155" spans="1:29" ht="13.5">
      <c r="A155" s="474"/>
      <c r="B155" s="474"/>
      <c r="C155" s="474"/>
      <c r="D155" s="475"/>
      <c r="E155" s="475"/>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6"/>
    </row>
    <row r="156" spans="1:29" ht="13.5">
      <c r="A156" s="474"/>
      <c r="B156" s="475"/>
      <c r="C156" s="474"/>
      <c r="D156" s="475"/>
      <c r="E156" s="475"/>
      <c r="F156" s="475"/>
      <c r="G156" s="475"/>
      <c r="H156" s="475"/>
      <c r="I156" s="475"/>
      <c r="J156" s="475"/>
      <c r="K156" s="475"/>
      <c r="L156" s="475"/>
      <c r="M156" s="475"/>
      <c r="N156" s="475"/>
      <c r="O156" s="475"/>
      <c r="P156" s="475"/>
      <c r="Q156" s="475"/>
      <c r="R156" s="475"/>
      <c r="S156" s="475"/>
      <c r="T156" s="475"/>
      <c r="U156" s="475"/>
      <c r="V156" s="475"/>
      <c r="W156" s="475"/>
      <c r="X156" s="475"/>
      <c r="Y156" s="475"/>
      <c r="Z156" s="475"/>
      <c r="AA156" s="475"/>
      <c r="AB156" s="475"/>
      <c r="AC156" s="476"/>
    </row>
    <row r="157" spans="1:29" ht="13.5">
      <c r="A157" s="474"/>
      <c r="B157" s="474"/>
      <c r="C157" s="474"/>
      <c r="D157" s="475"/>
      <c r="E157" s="475"/>
      <c r="F157" s="475"/>
      <c r="G157" s="475"/>
      <c r="H157" s="475"/>
      <c r="I157" s="475"/>
      <c r="J157" s="475"/>
      <c r="K157" s="475"/>
      <c r="L157" s="475"/>
      <c r="M157" s="475"/>
      <c r="N157" s="475"/>
      <c r="O157" s="475"/>
      <c r="P157" s="475"/>
      <c r="Q157" s="475"/>
      <c r="R157" s="475"/>
      <c r="S157" s="475"/>
      <c r="T157" s="475"/>
      <c r="U157" s="475"/>
      <c r="V157" s="475"/>
      <c r="W157" s="475"/>
      <c r="X157" s="475"/>
      <c r="Y157" s="475"/>
      <c r="Z157" s="475"/>
      <c r="AA157" s="475"/>
      <c r="AB157" s="475"/>
      <c r="AC157" s="476"/>
    </row>
    <row r="158" spans="1:29" ht="13.5">
      <c r="A158" s="474"/>
      <c r="B158" s="474"/>
      <c r="C158" s="474"/>
      <c r="D158" s="475"/>
      <c r="E158" s="475"/>
      <c r="F158" s="475"/>
      <c r="G158" s="475"/>
      <c r="H158" s="475"/>
      <c r="I158" s="475"/>
      <c r="J158" s="475"/>
      <c r="K158" s="475"/>
      <c r="L158" s="475"/>
      <c r="M158" s="475"/>
      <c r="N158" s="475"/>
      <c r="O158" s="475"/>
      <c r="P158" s="475"/>
      <c r="Q158" s="475"/>
      <c r="R158" s="475"/>
      <c r="S158" s="475"/>
      <c r="T158" s="475"/>
      <c r="U158" s="475"/>
      <c r="V158" s="475"/>
      <c r="W158" s="475"/>
      <c r="X158" s="475"/>
      <c r="Y158" s="475"/>
      <c r="Z158" s="475"/>
      <c r="AA158" s="475"/>
      <c r="AB158" s="475"/>
      <c r="AC158" s="476"/>
    </row>
    <row r="159" spans="1:29" ht="13.5">
      <c r="A159" s="474"/>
      <c r="B159" s="474"/>
      <c r="C159" s="474"/>
      <c r="D159" s="475"/>
      <c r="E159" s="475"/>
      <c r="F159" s="475"/>
      <c r="G159" s="475"/>
      <c r="H159" s="475"/>
      <c r="I159" s="475"/>
      <c r="J159" s="475"/>
      <c r="K159" s="475"/>
      <c r="L159" s="475"/>
      <c r="M159" s="475"/>
      <c r="N159" s="475"/>
      <c r="O159" s="475"/>
      <c r="P159" s="475"/>
      <c r="Q159" s="475"/>
      <c r="R159" s="475"/>
      <c r="S159" s="475"/>
      <c r="T159" s="475"/>
      <c r="U159" s="475"/>
      <c r="V159" s="475"/>
      <c r="W159" s="475"/>
      <c r="X159" s="475"/>
      <c r="Y159" s="475"/>
      <c r="Z159" s="475"/>
      <c r="AA159" s="475"/>
      <c r="AB159" s="475"/>
      <c r="AC159" s="476"/>
    </row>
    <row r="160" spans="1:29" ht="13.5">
      <c r="A160" s="474"/>
      <c r="B160" s="474"/>
      <c r="C160" s="474"/>
      <c r="D160" s="475"/>
      <c r="E160" s="475"/>
      <c r="F160" s="475"/>
      <c r="G160" s="475"/>
      <c r="H160" s="475"/>
      <c r="I160" s="475"/>
      <c r="J160" s="475"/>
      <c r="K160" s="475"/>
      <c r="L160" s="475"/>
      <c r="M160" s="475"/>
      <c r="N160" s="475"/>
      <c r="O160" s="475"/>
      <c r="P160" s="475"/>
      <c r="Q160" s="475"/>
      <c r="R160" s="475"/>
      <c r="S160" s="475"/>
      <c r="T160" s="475"/>
      <c r="U160" s="475"/>
      <c r="V160" s="475"/>
      <c r="W160" s="475"/>
      <c r="X160" s="475"/>
      <c r="Y160" s="475"/>
      <c r="Z160" s="475"/>
      <c r="AA160" s="475"/>
      <c r="AB160" s="475"/>
      <c r="AC160" s="476"/>
    </row>
    <row r="161" spans="1:29" ht="13.5">
      <c r="A161" s="474"/>
      <c r="B161" s="474"/>
      <c r="C161" s="474"/>
      <c r="D161" s="475"/>
      <c r="E161" s="475"/>
      <c r="F161" s="475"/>
      <c r="G161" s="475"/>
      <c r="H161" s="475"/>
      <c r="I161" s="475"/>
      <c r="J161" s="475"/>
      <c r="K161" s="475"/>
      <c r="L161" s="475"/>
      <c r="M161" s="475"/>
      <c r="N161" s="475"/>
      <c r="O161" s="475"/>
      <c r="P161" s="475"/>
      <c r="Q161" s="475"/>
      <c r="R161" s="475"/>
      <c r="S161" s="475"/>
      <c r="T161" s="475"/>
      <c r="U161" s="475"/>
      <c r="V161" s="475"/>
      <c r="W161" s="475"/>
      <c r="X161" s="475"/>
      <c r="Y161" s="475"/>
      <c r="Z161" s="475"/>
      <c r="AA161" s="475"/>
      <c r="AB161" s="475"/>
      <c r="AC161" s="476"/>
    </row>
    <row r="162" spans="1:29" ht="13.5">
      <c r="A162" s="474"/>
      <c r="B162" s="474"/>
      <c r="C162" s="474"/>
      <c r="D162" s="475"/>
      <c r="E162" s="475"/>
      <c r="F162" s="475"/>
      <c r="G162" s="475"/>
      <c r="H162" s="475"/>
      <c r="I162" s="475"/>
      <c r="J162" s="475"/>
      <c r="K162" s="475"/>
      <c r="L162" s="475"/>
      <c r="M162" s="475"/>
      <c r="N162" s="475"/>
      <c r="O162" s="475"/>
      <c r="P162" s="475"/>
      <c r="Q162" s="475"/>
      <c r="R162" s="475"/>
      <c r="S162" s="475"/>
      <c r="T162" s="475"/>
      <c r="U162" s="475"/>
      <c r="V162" s="475"/>
      <c r="W162" s="475"/>
      <c r="X162" s="475"/>
      <c r="Y162" s="475"/>
      <c r="Z162" s="475"/>
      <c r="AA162" s="475"/>
      <c r="AB162" s="475"/>
      <c r="AC162" s="476"/>
    </row>
    <row r="163" spans="1:29" ht="13.5">
      <c r="A163" s="474"/>
      <c r="B163" s="474"/>
      <c r="C163" s="474"/>
      <c r="D163" s="475"/>
      <c r="E163" s="475"/>
      <c r="F163" s="475"/>
      <c r="G163" s="475"/>
      <c r="H163" s="475"/>
      <c r="I163" s="475"/>
      <c r="J163" s="475"/>
      <c r="K163" s="475"/>
      <c r="L163" s="475"/>
      <c r="M163" s="475"/>
      <c r="N163" s="475"/>
      <c r="O163" s="475"/>
      <c r="P163" s="475"/>
      <c r="Q163" s="475"/>
      <c r="R163" s="475"/>
      <c r="S163" s="475"/>
      <c r="T163" s="475"/>
      <c r="U163" s="475"/>
      <c r="V163" s="475"/>
      <c r="W163" s="475"/>
      <c r="X163" s="475"/>
      <c r="Y163" s="475"/>
      <c r="Z163" s="475"/>
      <c r="AA163" s="475"/>
      <c r="AB163" s="475"/>
      <c r="AC163" s="476"/>
    </row>
    <row r="164" spans="1:29" ht="13.5">
      <c r="A164" s="474"/>
      <c r="B164" s="474"/>
      <c r="C164" s="474"/>
      <c r="D164" s="475"/>
      <c r="E164" s="475"/>
      <c r="F164" s="475"/>
      <c r="G164" s="475"/>
      <c r="H164" s="475"/>
      <c r="I164" s="475"/>
      <c r="J164" s="475"/>
      <c r="K164" s="475"/>
      <c r="L164" s="475"/>
      <c r="M164" s="475"/>
      <c r="N164" s="475"/>
      <c r="O164" s="475"/>
      <c r="P164" s="475"/>
      <c r="Q164" s="475"/>
      <c r="R164" s="475"/>
      <c r="S164" s="475"/>
      <c r="T164" s="475"/>
      <c r="U164" s="475"/>
      <c r="V164" s="475"/>
      <c r="W164" s="475"/>
      <c r="X164" s="475"/>
      <c r="Y164" s="475"/>
      <c r="Z164" s="475"/>
      <c r="AA164" s="475"/>
      <c r="AB164" s="475"/>
      <c r="AC164" s="476"/>
    </row>
    <row r="165" spans="1:29" ht="13.5">
      <c r="A165" s="474"/>
      <c r="B165" s="474"/>
      <c r="C165" s="474"/>
      <c r="D165" s="475"/>
      <c r="E165" s="475"/>
      <c r="F165" s="475"/>
      <c r="G165" s="475"/>
      <c r="H165" s="475"/>
      <c r="I165" s="475"/>
      <c r="J165" s="475"/>
      <c r="K165" s="475"/>
      <c r="L165" s="475"/>
      <c r="M165" s="475"/>
      <c r="N165" s="475"/>
      <c r="O165" s="475"/>
      <c r="P165" s="475"/>
      <c r="Q165" s="475"/>
      <c r="R165" s="475"/>
      <c r="S165" s="475"/>
      <c r="T165" s="475"/>
      <c r="U165" s="475"/>
      <c r="V165" s="475"/>
      <c r="W165" s="475"/>
      <c r="X165" s="475"/>
      <c r="Y165" s="475"/>
      <c r="Z165" s="475"/>
      <c r="AA165" s="475"/>
      <c r="AB165" s="475"/>
      <c r="AC165" s="476"/>
    </row>
    <row r="166" spans="1:29" ht="13.5">
      <c r="A166" s="474"/>
      <c r="B166" s="474"/>
      <c r="C166" s="474"/>
      <c r="D166" s="475"/>
      <c r="E166" s="475"/>
      <c r="F166" s="475"/>
      <c r="G166" s="475"/>
      <c r="H166" s="475"/>
      <c r="I166" s="475"/>
      <c r="J166" s="475"/>
      <c r="K166" s="475"/>
      <c r="L166" s="475"/>
      <c r="M166" s="475"/>
      <c r="N166" s="475"/>
      <c r="O166" s="475"/>
      <c r="P166" s="475"/>
      <c r="Q166" s="475"/>
      <c r="R166" s="475"/>
      <c r="S166" s="475"/>
      <c r="T166" s="475"/>
      <c r="U166" s="475"/>
      <c r="V166" s="475"/>
      <c r="W166" s="475"/>
      <c r="X166" s="475"/>
      <c r="Y166" s="475"/>
      <c r="Z166" s="475"/>
      <c r="AA166" s="475"/>
      <c r="AB166" s="475"/>
      <c r="AC166" s="476"/>
    </row>
    <row r="167" spans="1:29" ht="13.5">
      <c r="A167" s="474"/>
      <c r="B167" s="474"/>
      <c r="C167" s="474"/>
      <c r="D167" s="475"/>
      <c r="E167" s="475"/>
      <c r="F167" s="475"/>
      <c r="G167" s="475"/>
      <c r="H167" s="475"/>
      <c r="I167" s="475"/>
      <c r="J167" s="475"/>
      <c r="K167" s="475"/>
      <c r="L167" s="475"/>
      <c r="M167" s="475"/>
      <c r="N167" s="475"/>
      <c r="O167" s="475"/>
      <c r="P167" s="475"/>
      <c r="Q167" s="475"/>
      <c r="R167" s="475"/>
      <c r="S167" s="475"/>
      <c r="T167" s="475"/>
      <c r="U167" s="475"/>
      <c r="V167" s="475"/>
      <c r="W167" s="475"/>
      <c r="X167" s="475"/>
      <c r="Y167" s="475"/>
      <c r="Z167" s="475"/>
      <c r="AA167" s="475"/>
      <c r="AB167" s="475"/>
      <c r="AC167" s="476"/>
    </row>
    <row r="168" spans="1:29" ht="13.5">
      <c r="A168" s="474"/>
      <c r="B168" s="474"/>
      <c r="C168" s="474"/>
      <c r="D168" s="475"/>
      <c r="E168" s="475"/>
      <c r="F168" s="475"/>
      <c r="G168" s="475"/>
      <c r="H168" s="475"/>
      <c r="I168" s="475"/>
      <c r="J168" s="475"/>
      <c r="K168" s="475"/>
      <c r="L168" s="475"/>
      <c r="M168" s="475"/>
      <c r="N168" s="475"/>
      <c r="O168" s="475"/>
      <c r="P168" s="475"/>
      <c r="Q168" s="475"/>
      <c r="R168" s="475"/>
      <c r="S168" s="475"/>
      <c r="T168" s="475"/>
      <c r="U168" s="475"/>
      <c r="V168" s="475"/>
      <c r="W168" s="475"/>
      <c r="X168" s="475"/>
      <c r="Y168" s="475"/>
      <c r="Z168" s="475"/>
      <c r="AA168" s="475"/>
      <c r="AB168" s="475"/>
      <c r="AC168" s="476"/>
    </row>
    <row r="169" spans="1:29" ht="13.5">
      <c r="A169" s="474"/>
      <c r="B169" s="474"/>
      <c r="C169" s="474"/>
      <c r="D169" s="475"/>
      <c r="E169" s="475"/>
      <c r="F169" s="475"/>
      <c r="G169" s="475"/>
      <c r="H169" s="475"/>
      <c r="I169" s="475"/>
      <c r="J169" s="475"/>
      <c r="K169" s="475"/>
      <c r="L169" s="475"/>
      <c r="M169" s="475"/>
      <c r="N169" s="475"/>
      <c r="O169" s="475"/>
      <c r="P169" s="475"/>
      <c r="Q169" s="475"/>
      <c r="R169" s="475"/>
      <c r="S169" s="475"/>
      <c r="T169" s="475"/>
      <c r="U169" s="475"/>
      <c r="V169" s="475"/>
      <c r="W169" s="475"/>
      <c r="X169" s="475"/>
      <c r="Y169" s="475"/>
      <c r="Z169" s="475"/>
      <c r="AA169" s="475"/>
      <c r="AB169" s="475"/>
      <c r="AC169" s="476"/>
    </row>
    <row r="170" spans="1:29" ht="13.5">
      <c r="A170" s="474"/>
      <c r="B170" s="474"/>
      <c r="C170" s="474"/>
      <c r="D170" s="475"/>
      <c r="E170" s="475"/>
      <c r="F170" s="475"/>
      <c r="G170" s="475"/>
      <c r="H170" s="475"/>
      <c r="I170" s="475"/>
      <c r="J170" s="475"/>
      <c r="K170" s="475"/>
      <c r="L170" s="475"/>
      <c r="M170" s="475"/>
      <c r="N170" s="475"/>
      <c r="O170" s="475"/>
      <c r="P170" s="475"/>
      <c r="Q170" s="475"/>
      <c r="R170" s="475"/>
      <c r="S170" s="475"/>
      <c r="T170" s="475"/>
      <c r="U170" s="475"/>
      <c r="V170" s="475"/>
      <c r="W170" s="475"/>
      <c r="X170" s="475"/>
      <c r="Y170" s="475"/>
      <c r="Z170" s="475"/>
      <c r="AA170" s="475"/>
      <c r="AB170" s="475"/>
      <c r="AC170" s="476"/>
    </row>
    <row r="171" spans="1:29" ht="13.5">
      <c r="A171" s="474"/>
      <c r="B171" s="474"/>
      <c r="C171" s="474"/>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6"/>
    </row>
    <row r="172" spans="1:29" ht="15.75">
      <c r="A172" s="458"/>
      <c r="B172" s="474"/>
      <c r="C172" s="474"/>
      <c r="D172" s="475"/>
      <c r="E172" s="475"/>
      <c r="F172" s="475"/>
      <c r="G172" s="475"/>
      <c r="H172" s="475"/>
      <c r="I172" s="475"/>
      <c r="J172" s="475"/>
      <c r="K172" s="475"/>
      <c r="L172" s="475"/>
      <c r="M172" s="475"/>
      <c r="N172" s="475"/>
      <c r="O172" s="475"/>
      <c r="P172" s="475"/>
      <c r="Q172" s="475"/>
      <c r="R172" s="475"/>
      <c r="S172" s="475"/>
      <c r="T172" s="475"/>
      <c r="U172" s="475"/>
      <c r="V172" s="475"/>
      <c r="W172" s="475"/>
      <c r="X172" s="475"/>
      <c r="Y172" s="475"/>
      <c r="Z172" s="475"/>
      <c r="AA172" s="475"/>
      <c r="AB172" s="475"/>
      <c r="AC172" s="476"/>
    </row>
    <row r="173" spans="1:29" ht="15.75">
      <c r="A173" s="458"/>
      <c r="B173" s="474"/>
      <c r="C173" s="474"/>
      <c r="D173" s="475"/>
      <c r="E173" s="475"/>
      <c r="F173" s="475"/>
      <c r="G173" s="475"/>
      <c r="H173" s="475"/>
      <c r="I173" s="475"/>
      <c r="J173" s="475"/>
      <c r="K173" s="475"/>
      <c r="L173" s="475"/>
      <c r="M173" s="475"/>
      <c r="N173" s="475"/>
      <c r="O173" s="475"/>
      <c r="P173" s="475"/>
      <c r="Q173" s="475"/>
      <c r="R173" s="475"/>
      <c r="S173" s="475"/>
      <c r="T173" s="475"/>
      <c r="U173" s="475"/>
      <c r="V173" s="475"/>
      <c r="W173" s="475"/>
      <c r="X173" s="475"/>
      <c r="Y173" s="475"/>
      <c r="Z173" s="475"/>
      <c r="AA173" s="475"/>
      <c r="AB173" s="475"/>
      <c r="AC173" s="476"/>
    </row>
    <row r="174" spans="1:29" ht="15.75">
      <c r="A174" s="458"/>
      <c r="B174" s="458"/>
      <c r="C174" s="458"/>
      <c r="D174" s="457"/>
      <c r="E174" s="457"/>
      <c r="F174" s="457"/>
      <c r="G174" s="457"/>
      <c r="H174" s="457"/>
      <c r="I174" s="457"/>
      <c r="J174" s="457"/>
      <c r="K174" s="457"/>
      <c r="L174" s="457"/>
      <c r="M174" s="457"/>
      <c r="N174" s="457"/>
      <c r="O174" s="457"/>
      <c r="P174" s="457"/>
      <c r="Q174" s="457"/>
      <c r="R174" s="457"/>
      <c r="S174" s="457"/>
      <c r="T174" s="457"/>
      <c r="U174" s="457"/>
      <c r="V174" s="457"/>
      <c r="W174" s="457"/>
      <c r="X174" s="457"/>
      <c r="Y174" s="457"/>
      <c r="Z174" s="457"/>
      <c r="AA174" s="457"/>
      <c r="AB174" s="457"/>
    </row>
    <row r="175" spans="1:29" ht="15.75">
      <c r="A175" s="458"/>
      <c r="B175" s="458"/>
      <c r="C175" s="458"/>
      <c r="D175" s="457"/>
      <c r="E175" s="457"/>
      <c r="F175" s="457"/>
      <c r="G175" s="457"/>
      <c r="H175" s="457"/>
      <c r="I175" s="457"/>
      <c r="J175" s="457"/>
      <c r="K175" s="457"/>
      <c r="L175" s="457"/>
      <c r="M175" s="457"/>
      <c r="N175" s="457"/>
      <c r="O175" s="457"/>
      <c r="P175" s="457"/>
      <c r="Q175" s="457"/>
      <c r="R175" s="457"/>
      <c r="S175" s="457"/>
      <c r="T175" s="457"/>
      <c r="U175" s="457"/>
      <c r="V175" s="457"/>
      <c r="W175" s="457"/>
      <c r="X175" s="457"/>
      <c r="Y175" s="457"/>
      <c r="Z175" s="457"/>
      <c r="AA175" s="457"/>
      <c r="AB175" s="457"/>
    </row>
    <row r="176" spans="1:29" ht="15.75">
      <c r="A176" s="458"/>
      <c r="B176" s="458"/>
      <c r="C176" s="458"/>
      <c r="D176" s="457"/>
      <c r="E176" s="457"/>
      <c r="F176" s="457"/>
      <c r="G176" s="457"/>
      <c r="H176" s="457"/>
      <c r="I176" s="457"/>
      <c r="J176" s="457"/>
      <c r="K176" s="457"/>
      <c r="L176" s="457"/>
      <c r="M176" s="457"/>
      <c r="N176" s="457"/>
      <c r="O176" s="457"/>
      <c r="P176" s="457"/>
      <c r="Q176" s="457"/>
      <c r="R176" s="457"/>
      <c r="S176" s="457"/>
      <c r="T176" s="457"/>
      <c r="U176" s="457"/>
      <c r="V176" s="457"/>
      <c r="W176" s="457"/>
      <c r="X176" s="457"/>
      <c r="Y176" s="457"/>
      <c r="Z176" s="457"/>
      <c r="AA176" s="457"/>
      <c r="AB176" s="457"/>
    </row>
    <row r="177" spans="1:28" ht="15.75">
      <c r="A177" s="458"/>
      <c r="B177" s="458"/>
      <c r="C177" s="458"/>
      <c r="D177" s="457"/>
      <c r="E177" s="457"/>
      <c r="F177" s="457"/>
      <c r="G177" s="457"/>
      <c r="H177" s="457"/>
      <c r="I177" s="457"/>
      <c r="J177" s="457"/>
      <c r="K177" s="457"/>
      <c r="L177" s="457"/>
      <c r="M177" s="457"/>
      <c r="N177" s="457"/>
      <c r="O177" s="457"/>
      <c r="P177" s="457"/>
      <c r="Q177" s="457"/>
      <c r="R177" s="457"/>
      <c r="S177" s="457"/>
      <c r="T177" s="457"/>
      <c r="U177" s="457"/>
      <c r="V177" s="457"/>
      <c r="W177" s="457"/>
      <c r="X177" s="457"/>
      <c r="Y177" s="457"/>
      <c r="Z177" s="457"/>
      <c r="AA177" s="457"/>
      <c r="AB177" s="457"/>
    </row>
    <row r="178" spans="1:28" ht="15.75">
      <c r="A178" s="458"/>
      <c r="B178" s="458"/>
      <c r="C178" s="458"/>
      <c r="D178" s="457"/>
      <c r="E178" s="457"/>
      <c r="F178" s="457"/>
      <c r="G178" s="457"/>
      <c r="H178" s="457"/>
      <c r="I178" s="457"/>
      <c r="J178" s="457"/>
      <c r="K178" s="457"/>
      <c r="L178" s="457"/>
      <c r="M178" s="457"/>
      <c r="N178" s="457"/>
      <c r="O178" s="457"/>
      <c r="P178" s="457"/>
      <c r="Q178" s="457"/>
      <c r="R178" s="457"/>
      <c r="S178" s="457"/>
      <c r="T178" s="457"/>
      <c r="U178" s="457"/>
      <c r="V178" s="457"/>
      <c r="W178" s="457"/>
      <c r="X178" s="457"/>
      <c r="Y178" s="457"/>
      <c r="Z178" s="457"/>
      <c r="AA178" s="457"/>
      <c r="AB178" s="457"/>
    </row>
    <row r="179" spans="1:28" ht="15.75">
      <c r="A179" s="458"/>
      <c r="B179" s="458"/>
      <c r="C179" s="458"/>
      <c r="D179" s="457"/>
      <c r="E179" s="457"/>
      <c r="F179" s="457"/>
      <c r="G179" s="457"/>
      <c r="H179" s="457"/>
      <c r="I179" s="457"/>
      <c r="J179" s="457"/>
      <c r="K179" s="457"/>
      <c r="L179" s="457"/>
      <c r="M179" s="457"/>
      <c r="N179" s="457"/>
      <c r="O179" s="457"/>
      <c r="P179" s="457"/>
      <c r="Q179" s="457"/>
      <c r="R179" s="457"/>
      <c r="S179" s="457"/>
      <c r="T179" s="457"/>
      <c r="U179" s="457"/>
      <c r="V179" s="457"/>
      <c r="W179" s="457"/>
      <c r="X179" s="457"/>
      <c r="Y179" s="457"/>
      <c r="Z179" s="457"/>
      <c r="AA179" s="457"/>
      <c r="AB179" s="457"/>
    </row>
    <row r="180" spans="1:28" ht="15.75">
      <c r="A180" s="458"/>
      <c r="B180" s="458"/>
      <c r="C180" s="458"/>
      <c r="D180" s="457"/>
      <c r="E180" s="457"/>
      <c r="F180" s="457"/>
      <c r="G180" s="457"/>
      <c r="H180" s="457"/>
      <c r="I180" s="457"/>
      <c r="J180" s="457"/>
      <c r="K180" s="457"/>
      <c r="L180" s="457"/>
      <c r="M180" s="457"/>
      <c r="N180" s="457"/>
      <c r="O180" s="457"/>
      <c r="P180" s="457"/>
      <c r="Q180" s="457"/>
      <c r="R180" s="457"/>
      <c r="S180" s="457"/>
      <c r="T180" s="457"/>
      <c r="U180" s="457"/>
      <c r="V180" s="457"/>
      <c r="W180" s="457"/>
      <c r="X180" s="457"/>
      <c r="Y180" s="457"/>
      <c r="Z180" s="457"/>
      <c r="AA180" s="457"/>
      <c r="AB180" s="457"/>
    </row>
    <row r="181" spans="1:28" ht="15.75">
      <c r="A181" s="458"/>
      <c r="B181" s="458"/>
      <c r="C181" s="458"/>
      <c r="D181" s="457"/>
      <c r="E181" s="457"/>
      <c r="F181" s="457"/>
      <c r="G181" s="457"/>
      <c r="H181" s="457"/>
      <c r="I181" s="457"/>
      <c r="J181" s="457"/>
      <c r="K181" s="457"/>
      <c r="L181" s="457"/>
      <c r="M181" s="457"/>
      <c r="N181" s="457"/>
      <c r="O181" s="457"/>
      <c r="P181" s="457"/>
      <c r="Q181" s="457"/>
      <c r="R181" s="457"/>
      <c r="S181" s="457"/>
      <c r="T181" s="457"/>
      <c r="U181" s="457"/>
      <c r="V181" s="457"/>
      <c r="W181" s="457"/>
      <c r="X181" s="457"/>
      <c r="Y181" s="457"/>
      <c r="Z181" s="457"/>
      <c r="AA181" s="457"/>
      <c r="AB181" s="457"/>
    </row>
    <row r="182" spans="1:28" ht="15.75">
      <c r="A182" s="458"/>
      <c r="B182" s="458"/>
      <c r="C182" s="458"/>
      <c r="D182" s="457"/>
      <c r="E182" s="457"/>
      <c r="F182" s="457"/>
      <c r="G182" s="457"/>
      <c r="H182" s="457"/>
      <c r="I182" s="457"/>
      <c r="J182" s="457"/>
      <c r="K182" s="457"/>
      <c r="L182" s="457"/>
      <c r="M182" s="457"/>
      <c r="N182" s="457"/>
      <c r="O182" s="457"/>
      <c r="P182" s="457"/>
      <c r="Q182" s="457"/>
      <c r="R182" s="457"/>
      <c r="S182" s="457"/>
      <c r="T182" s="457"/>
      <c r="U182" s="457"/>
      <c r="V182" s="457"/>
      <c r="W182" s="457"/>
      <c r="X182" s="457"/>
      <c r="Y182" s="457"/>
      <c r="Z182" s="457"/>
      <c r="AA182" s="457"/>
      <c r="AB182" s="457"/>
    </row>
    <row r="183" spans="1:28" ht="15.75">
      <c r="A183" s="458"/>
      <c r="B183" s="458"/>
      <c r="C183" s="458"/>
      <c r="D183" s="457"/>
      <c r="E183" s="457"/>
      <c r="F183" s="457"/>
      <c r="G183" s="457"/>
      <c r="H183" s="457"/>
      <c r="I183" s="457"/>
      <c r="J183" s="457"/>
      <c r="K183" s="457"/>
      <c r="L183" s="457"/>
      <c r="M183" s="457"/>
      <c r="N183" s="457"/>
      <c r="O183" s="457"/>
      <c r="P183" s="457"/>
      <c r="Q183" s="457"/>
      <c r="R183" s="457"/>
      <c r="S183" s="457"/>
      <c r="T183" s="457"/>
      <c r="U183" s="457"/>
      <c r="V183" s="457"/>
      <c r="W183" s="457"/>
      <c r="X183" s="457"/>
      <c r="Y183" s="457"/>
      <c r="Z183" s="457"/>
      <c r="AA183" s="457"/>
      <c r="AB183" s="457"/>
    </row>
    <row r="184" spans="1:28" ht="15.75">
      <c r="A184" s="458"/>
      <c r="B184" s="458"/>
      <c r="C184" s="458"/>
      <c r="D184" s="457"/>
      <c r="E184" s="457"/>
      <c r="F184" s="457"/>
      <c r="G184" s="457"/>
      <c r="H184" s="457"/>
      <c r="I184" s="457"/>
      <c r="J184" s="457"/>
      <c r="K184" s="457"/>
      <c r="L184" s="457"/>
      <c r="M184" s="457"/>
      <c r="N184" s="457"/>
      <c r="O184" s="457"/>
      <c r="P184" s="457"/>
      <c r="Q184" s="457"/>
      <c r="R184" s="457"/>
      <c r="S184" s="457"/>
      <c r="T184" s="457"/>
      <c r="U184" s="457"/>
      <c r="V184" s="457"/>
      <c r="W184" s="457"/>
      <c r="X184" s="457"/>
      <c r="Y184" s="457"/>
      <c r="Z184" s="457"/>
      <c r="AA184" s="457"/>
      <c r="AB184" s="457"/>
    </row>
    <row r="185" spans="1:28" ht="15.75">
      <c r="A185" s="458"/>
      <c r="B185" s="458"/>
      <c r="C185" s="458"/>
      <c r="D185" s="457"/>
      <c r="E185" s="457"/>
      <c r="F185" s="457"/>
      <c r="G185" s="457"/>
      <c r="H185" s="457"/>
      <c r="I185" s="457"/>
      <c r="J185" s="457"/>
      <c r="K185" s="457"/>
      <c r="L185" s="457"/>
      <c r="M185" s="457"/>
      <c r="N185" s="457"/>
      <c r="O185" s="457"/>
      <c r="P185" s="457"/>
      <c r="Q185" s="457"/>
      <c r="R185" s="457"/>
      <c r="S185" s="457"/>
      <c r="T185" s="457"/>
      <c r="U185" s="457"/>
      <c r="V185" s="457"/>
      <c r="W185" s="457"/>
      <c r="X185" s="457"/>
      <c r="Y185" s="457"/>
      <c r="Z185" s="457"/>
      <c r="AA185" s="457"/>
      <c r="AB185" s="457"/>
    </row>
    <row r="186" spans="1:28" ht="15.75">
      <c r="A186" s="458"/>
      <c r="B186" s="458"/>
      <c r="C186" s="458"/>
      <c r="D186" s="457"/>
      <c r="E186" s="457"/>
      <c r="F186" s="457"/>
      <c r="G186" s="457"/>
      <c r="H186" s="457"/>
      <c r="I186" s="457"/>
      <c r="J186" s="457"/>
      <c r="K186" s="457"/>
      <c r="L186" s="457"/>
      <c r="M186" s="457"/>
      <c r="N186" s="457"/>
      <c r="O186" s="457"/>
      <c r="P186" s="457"/>
      <c r="Q186" s="457"/>
      <c r="R186" s="457"/>
      <c r="S186" s="457"/>
      <c r="T186" s="457"/>
      <c r="U186" s="457"/>
      <c r="V186" s="457"/>
      <c r="W186" s="457"/>
      <c r="X186" s="457"/>
      <c r="Y186" s="457"/>
      <c r="Z186" s="457"/>
      <c r="AA186" s="457"/>
      <c r="AB186" s="457"/>
    </row>
    <row r="187" spans="1:28" ht="15.75">
      <c r="A187" s="458"/>
      <c r="B187" s="458"/>
      <c r="C187" s="458"/>
      <c r="D187" s="457"/>
      <c r="E187" s="457"/>
      <c r="F187" s="457"/>
      <c r="G187" s="457"/>
      <c r="H187" s="457"/>
      <c r="I187" s="457"/>
      <c r="J187" s="457"/>
      <c r="K187" s="457"/>
      <c r="L187" s="457"/>
      <c r="M187" s="457"/>
      <c r="N187" s="457"/>
      <c r="O187" s="457"/>
      <c r="P187" s="457"/>
      <c r="Q187" s="457"/>
      <c r="R187" s="457"/>
      <c r="S187" s="457"/>
      <c r="T187" s="457"/>
      <c r="U187" s="457"/>
      <c r="V187" s="457"/>
      <c r="W187" s="457"/>
      <c r="X187" s="457"/>
      <c r="Y187" s="457"/>
      <c r="Z187" s="457"/>
      <c r="AA187" s="457"/>
      <c r="AB187" s="457"/>
    </row>
    <row r="188" spans="1:28" ht="15.75">
      <c r="A188" s="458"/>
      <c r="B188" s="458"/>
      <c r="C188" s="458"/>
      <c r="D188" s="457"/>
      <c r="E188" s="457"/>
      <c r="F188" s="457"/>
      <c r="G188" s="457"/>
      <c r="H188" s="457"/>
      <c r="I188" s="457"/>
      <c r="J188" s="457"/>
      <c r="K188" s="457"/>
      <c r="L188" s="457"/>
      <c r="M188" s="457"/>
      <c r="N188" s="457"/>
      <c r="O188" s="457"/>
      <c r="P188" s="457"/>
      <c r="Q188" s="457"/>
      <c r="R188" s="457"/>
      <c r="S188" s="457"/>
      <c r="T188" s="457"/>
      <c r="U188" s="457"/>
      <c r="V188" s="457"/>
      <c r="W188" s="457"/>
      <c r="X188" s="457"/>
      <c r="Y188" s="457"/>
      <c r="Z188" s="457"/>
      <c r="AA188" s="457"/>
      <c r="AB188" s="457"/>
    </row>
    <row r="189" spans="1:28" ht="15.75">
      <c r="A189" s="458"/>
      <c r="B189" s="458"/>
      <c r="C189" s="458"/>
      <c r="D189" s="457"/>
      <c r="E189" s="457"/>
      <c r="F189" s="457"/>
      <c r="G189" s="457"/>
      <c r="H189" s="457"/>
      <c r="I189" s="457"/>
      <c r="J189" s="457"/>
      <c r="K189" s="457"/>
      <c r="L189" s="457"/>
      <c r="M189" s="457"/>
      <c r="N189" s="457"/>
      <c r="O189" s="457"/>
      <c r="P189" s="457"/>
      <c r="Q189" s="457"/>
      <c r="R189" s="457"/>
      <c r="S189" s="457"/>
      <c r="T189" s="457"/>
      <c r="U189" s="457"/>
      <c r="V189" s="457"/>
      <c r="W189" s="457"/>
      <c r="X189" s="457"/>
      <c r="Y189" s="457"/>
      <c r="Z189" s="457"/>
      <c r="AA189" s="457"/>
      <c r="AB189" s="457"/>
    </row>
    <row r="190" spans="1:28" ht="15.75">
      <c r="A190" s="458"/>
      <c r="B190" s="458"/>
      <c r="C190" s="458"/>
      <c r="D190" s="457"/>
      <c r="E190" s="457"/>
      <c r="F190" s="457"/>
      <c r="G190" s="457"/>
      <c r="H190" s="457"/>
      <c r="I190" s="457"/>
      <c r="J190" s="457"/>
      <c r="K190" s="457"/>
      <c r="L190" s="457"/>
      <c r="M190" s="457"/>
      <c r="N190" s="457"/>
      <c r="O190" s="457"/>
      <c r="P190" s="457"/>
      <c r="Q190" s="457"/>
      <c r="R190" s="457"/>
      <c r="S190" s="457"/>
      <c r="T190" s="457"/>
      <c r="U190" s="457"/>
      <c r="V190" s="457"/>
      <c r="W190" s="457"/>
      <c r="X190" s="457"/>
      <c r="Y190" s="457"/>
      <c r="Z190" s="457"/>
      <c r="AA190" s="457"/>
      <c r="AB190" s="457"/>
    </row>
    <row r="191" spans="1:28" ht="15.75">
      <c r="A191" s="458"/>
      <c r="B191" s="458"/>
      <c r="C191" s="458"/>
      <c r="D191" s="457"/>
      <c r="E191" s="457"/>
      <c r="F191" s="457"/>
      <c r="G191" s="457"/>
      <c r="H191" s="457"/>
      <c r="I191" s="457"/>
      <c r="J191" s="457"/>
      <c r="K191" s="457"/>
      <c r="L191" s="457"/>
      <c r="M191" s="457"/>
      <c r="N191" s="457"/>
      <c r="O191" s="457"/>
      <c r="P191" s="457"/>
      <c r="Q191" s="457"/>
      <c r="R191" s="457"/>
      <c r="S191" s="457"/>
      <c r="T191" s="457"/>
      <c r="U191" s="457"/>
      <c r="V191" s="457"/>
      <c r="W191" s="457"/>
      <c r="X191" s="457"/>
      <c r="Y191" s="457"/>
      <c r="Z191" s="457"/>
      <c r="AA191" s="457"/>
      <c r="AB191" s="457"/>
    </row>
    <row r="192" spans="1:28" ht="15.75">
      <c r="A192" s="458"/>
      <c r="B192" s="458"/>
      <c r="C192" s="458"/>
      <c r="D192" s="457"/>
      <c r="E192" s="457"/>
      <c r="F192" s="457"/>
      <c r="G192" s="457"/>
      <c r="H192" s="457"/>
      <c r="I192" s="457"/>
      <c r="J192" s="457"/>
      <c r="K192" s="457"/>
      <c r="L192" s="457"/>
      <c r="M192" s="457"/>
      <c r="N192" s="457"/>
      <c r="O192" s="457"/>
      <c r="P192" s="457"/>
      <c r="Q192" s="457"/>
      <c r="R192" s="457"/>
      <c r="S192" s="457"/>
      <c r="T192" s="457"/>
      <c r="U192" s="457"/>
      <c r="V192" s="457"/>
      <c r="W192" s="457"/>
      <c r="X192" s="457"/>
      <c r="Y192" s="457"/>
      <c r="Z192" s="457"/>
      <c r="AA192" s="457"/>
      <c r="AB192" s="457"/>
    </row>
    <row r="193" spans="1:28" ht="15.75">
      <c r="A193" s="458"/>
      <c r="B193" s="458"/>
      <c r="C193" s="458"/>
      <c r="D193" s="457"/>
      <c r="E193" s="457"/>
      <c r="F193" s="457"/>
      <c r="G193" s="457"/>
      <c r="H193" s="457"/>
      <c r="I193" s="457"/>
      <c r="J193" s="457"/>
      <c r="K193" s="457"/>
      <c r="L193" s="457"/>
      <c r="M193" s="457"/>
      <c r="N193" s="457"/>
      <c r="O193" s="457"/>
      <c r="P193" s="457"/>
      <c r="Q193" s="457"/>
      <c r="R193" s="457"/>
      <c r="S193" s="457"/>
      <c r="T193" s="457"/>
      <c r="U193" s="457"/>
      <c r="V193" s="457"/>
      <c r="W193" s="457"/>
      <c r="X193" s="457"/>
      <c r="Y193" s="457"/>
      <c r="Z193" s="457"/>
      <c r="AA193" s="457"/>
      <c r="AB193" s="457"/>
    </row>
    <row r="194" spans="1:28" ht="15.75">
      <c r="A194" s="458"/>
      <c r="B194" s="458"/>
      <c r="C194" s="458"/>
      <c r="D194" s="457"/>
      <c r="E194" s="457"/>
      <c r="F194" s="457"/>
      <c r="G194" s="457"/>
      <c r="H194" s="457"/>
      <c r="I194" s="457"/>
      <c r="J194" s="457"/>
      <c r="K194" s="457"/>
      <c r="L194" s="457"/>
      <c r="M194" s="457"/>
      <c r="N194" s="457"/>
      <c r="O194" s="457"/>
      <c r="P194" s="457"/>
      <c r="Q194" s="457"/>
      <c r="R194" s="457"/>
      <c r="S194" s="457"/>
      <c r="T194" s="457"/>
      <c r="U194" s="457"/>
      <c r="V194" s="457"/>
      <c r="W194" s="457"/>
      <c r="X194" s="457"/>
      <c r="Y194" s="457"/>
      <c r="Z194" s="457"/>
      <c r="AA194" s="457"/>
      <c r="AB194" s="457"/>
    </row>
    <row r="195" spans="1:28" ht="15.75">
      <c r="A195" s="458"/>
      <c r="B195" s="458"/>
      <c r="C195" s="458"/>
      <c r="D195" s="457"/>
      <c r="E195" s="457"/>
      <c r="F195" s="457"/>
      <c r="G195" s="457"/>
      <c r="H195" s="457"/>
      <c r="I195" s="457"/>
      <c r="J195" s="457"/>
      <c r="K195" s="457"/>
      <c r="L195" s="457"/>
      <c r="M195" s="457"/>
      <c r="N195" s="457"/>
      <c r="O195" s="457"/>
      <c r="P195" s="457"/>
      <c r="Q195" s="457"/>
      <c r="R195" s="457"/>
      <c r="S195" s="457"/>
      <c r="T195" s="457"/>
      <c r="U195" s="457"/>
      <c r="V195" s="457"/>
      <c r="W195" s="457"/>
      <c r="X195" s="457"/>
      <c r="Y195" s="457"/>
      <c r="Z195" s="457"/>
      <c r="AA195" s="457"/>
      <c r="AB195" s="457"/>
    </row>
    <row r="196" spans="1:28" ht="15.75">
      <c r="A196" s="458"/>
      <c r="B196" s="458"/>
      <c r="C196" s="458"/>
      <c r="D196" s="457"/>
      <c r="E196" s="457"/>
      <c r="F196" s="457"/>
      <c r="G196" s="457"/>
      <c r="H196" s="457"/>
      <c r="I196" s="457"/>
      <c r="J196" s="457"/>
      <c r="K196" s="457"/>
      <c r="L196" s="457"/>
      <c r="M196" s="457"/>
      <c r="N196" s="457"/>
      <c r="O196" s="457"/>
      <c r="P196" s="457"/>
      <c r="Q196" s="457"/>
      <c r="R196" s="457"/>
      <c r="S196" s="457"/>
      <c r="T196" s="457"/>
      <c r="U196" s="457"/>
      <c r="V196" s="457"/>
      <c r="W196" s="457"/>
      <c r="X196" s="457"/>
      <c r="Y196" s="457"/>
      <c r="Z196" s="457"/>
      <c r="AA196" s="457"/>
      <c r="AB196" s="457"/>
    </row>
    <row r="197" spans="1:28" ht="15.75">
      <c r="A197" s="458"/>
      <c r="B197" s="458"/>
      <c r="C197" s="458"/>
      <c r="D197" s="457"/>
      <c r="E197" s="457"/>
      <c r="F197" s="457"/>
      <c r="G197" s="457"/>
      <c r="H197" s="457"/>
      <c r="I197" s="457"/>
      <c r="J197" s="457"/>
      <c r="K197" s="457"/>
      <c r="L197" s="457"/>
      <c r="M197" s="457"/>
      <c r="N197" s="457"/>
      <c r="O197" s="457"/>
      <c r="P197" s="457"/>
      <c r="Q197" s="457"/>
      <c r="R197" s="457"/>
      <c r="S197" s="457"/>
      <c r="T197" s="457"/>
      <c r="U197" s="457"/>
      <c r="V197" s="457"/>
      <c r="W197" s="457"/>
      <c r="X197" s="457"/>
      <c r="Y197" s="457"/>
      <c r="Z197" s="457"/>
      <c r="AA197" s="457"/>
      <c r="AB197" s="457"/>
    </row>
    <row r="198" spans="1:28" ht="15.75">
      <c r="A198" s="458"/>
      <c r="B198" s="458"/>
      <c r="C198" s="458"/>
      <c r="D198" s="457"/>
      <c r="E198" s="457"/>
      <c r="F198" s="457"/>
      <c r="G198" s="457"/>
      <c r="H198" s="457"/>
      <c r="I198" s="457"/>
      <c r="J198" s="457"/>
      <c r="K198" s="457"/>
      <c r="L198" s="457"/>
      <c r="M198" s="457"/>
      <c r="N198" s="457"/>
      <c r="O198" s="457"/>
      <c r="P198" s="457"/>
      <c r="Q198" s="457"/>
      <c r="R198" s="457"/>
      <c r="S198" s="457"/>
      <c r="T198" s="457"/>
      <c r="U198" s="457"/>
      <c r="V198" s="457"/>
      <c r="W198" s="457"/>
      <c r="X198" s="457"/>
      <c r="Y198" s="457"/>
      <c r="Z198" s="457"/>
      <c r="AA198" s="457"/>
      <c r="AB198" s="457"/>
    </row>
    <row r="199" spans="1:28" ht="15.75">
      <c r="A199" s="458"/>
      <c r="B199" s="458"/>
      <c r="C199" s="458"/>
      <c r="D199" s="457"/>
      <c r="E199" s="457"/>
      <c r="F199" s="457"/>
      <c r="G199" s="457"/>
      <c r="H199" s="457"/>
      <c r="I199" s="457"/>
      <c r="J199" s="457"/>
      <c r="K199" s="457"/>
      <c r="L199" s="457"/>
      <c r="M199" s="457"/>
      <c r="N199" s="457"/>
      <c r="O199" s="457"/>
      <c r="P199" s="457"/>
      <c r="Q199" s="457"/>
      <c r="R199" s="457"/>
      <c r="S199" s="457"/>
      <c r="T199" s="457"/>
      <c r="U199" s="457"/>
      <c r="V199" s="457"/>
      <c r="W199" s="457"/>
      <c r="X199" s="457"/>
      <c r="Y199" s="457"/>
      <c r="Z199" s="457"/>
      <c r="AA199" s="457"/>
      <c r="AB199" s="457"/>
    </row>
    <row r="200" spans="1:28" ht="15.75">
      <c r="A200" s="458"/>
      <c r="B200" s="458"/>
      <c r="C200" s="458"/>
      <c r="D200" s="457"/>
      <c r="E200" s="457"/>
      <c r="F200" s="457"/>
      <c r="G200" s="457"/>
      <c r="H200" s="457"/>
      <c r="I200" s="457"/>
      <c r="J200" s="457"/>
      <c r="K200" s="457"/>
      <c r="L200" s="457"/>
      <c r="M200" s="457"/>
      <c r="N200" s="457"/>
      <c r="O200" s="457"/>
      <c r="P200" s="457"/>
      <c r="Q200" s="457"/>
      <c r="R200" s="457"/>
      <c r="S200" s="457"/>
      <c r="T200" s="457"/>
      <c r="U200" s="457"/>
      <c r="V200" s="457"/>
      <c r="W200" s="457"/>
      <c r="X200" s="457"/>
      <c r="Y200" s="457"/>
      <c r="Z200" s="457"/>
      <c r="AA200" s="457"/>
      <c r="AB200" s="457"/>
    </row>
    <row r="201" spans="1:28" ht="15.75">
      <c r="A201" s="458"/>
      <c r="B201" s="458"/>
      <c r="C201" s="458"/>
      <c r="D201" s="457"/>
      <c r="E201" s="457"/>
      <c r="F201" s="457"/>
      <c r="G201" s="457"/>
      <c r="H201" s="457"/>
      <c r="I201" s="457"/>
      <c r="J201" s="457"/>
      <c r="K201" s="457"/>
      <c r="L201" s="457"/>
      <c r="M201" s="457"/>
      <c r="N201" s="457"/>
      <c r="O201" s="457"/>
      <c r="P201" s="457"/>
      <c r="Q201" s="457"/>
      <c r="R201" s="457"/>
      <c r="S201" s="457"/>
      <c r="T201" s="457"/>
      <c r="U201" s="457"/>
      <c r="V201" s="457"/>
      <c r="W201" s="457"/>
      <c r="X201" s="457"/>
      <c r="Y201" s="457"/>
      <c r="Z201" s="457"/>
      <c r="AA201" s="457"/>
      <c r="AB201" s="457"/>
    </row>
    <row r="202" spans="1:28" ht="15.75">
      <c r="A202" s="458"/>
      <c r="B202" s="458"/>
      <c r="C202" s="458"/>
      <c r="D202" s="457"/>
      <c r="E202" s="457"/>
      <c r="F202" s="457"/>
      <c r="G202" s="457"/>
      <c r="H202" s="457"/>
      <c r="I202" s="457"/>
      <c r="J202" s="457"/>
      <c r="K202" s="457"/>
      <c r="L202" s="457"/>
      <c r="M202" s="457"/>
      <c r="N202" s="457"/>
      <c r="O202" s="457"/>
      <c r="P202" s="457"/>
      <c r="Q202" s="457"/>
      <c r="R202" s="457"/>
      <c r="S202" s="457"/>
      <c r="T202" s="457"/>
      <c r="U202" s="457"/>
      <c r="V202" s="457"/>
      <c r="W202" s="457"/>
      <c r="X202" s="457"/>
      <c r="Y202" s="457"/>
      <c r="Z202" s="457"/>
      <c r="AA202" s="457"/>
      <c r="AB202" s="457"/>
    </row>
    <row r="203" spans="1:28" ht="15.75">
      <c r="A203" s="458"/>
      <c r="B203" s="458"/>
      <c r="C203" s="458"/>
      <c r="D203" s="457"/>
      <c r="E203" s="457"/>
      <c r="F203" s="457"/>
      <c r="G203" s="457"/>
      <c r="H203" s="457"/>
      <c r="I203" s="457"/>
      <c r="J203" s="457"/>
      <c r="K203" s="457"/>
      <c r="L203" s="457"/>
      <c r="M203" s="457"/>
      <c r="N203" s="457"/>
      <c r="O203" s="457"/>
      <c r="P203" s="457"/>
      <c r="Q203" s="457"/>
      <c r="R203" s="457"/>
      <c r="S203" s="457"/>
      <c r="T203" s="457"/>
      <c r="U203" s="457"/>
      <c r="V203" s="457"/>
      <c r="W203" s="457"/>
      <c r="X203" s="457"/>
      <c r="Y203" s="457"/>
      <c r="Z203" s="457"/>
      <c r="AA203" s="457"/>
      <c r="AB203" s="457"/>
    </row>
    <row r="204" spans="1:28" ht="15.75">
      <c r="A204" s="458"/>
      <c r="B204" s="458"/>
      <c r="C204" s="458"/>
      <c r="D204" s="457"/>
      <c r="E204" s="457"/>
      <c r="F204" s="457"/>
      <c r="G204" s="457"/>
      <c r="H204" s="457"/>
      <c r="I204" s="457"/>
      <c r="J204" s="457"/>
      <c r="K204" s="457"/>
      <c r="L204" s="457"/>
      <c r="M204" s="457"/>
      <c r="N204" s="457"/>
      <c r="O204" s="457"/>
      <c r="P204" s="457"/>
      <c r="Q204" s="457"/>
      <c r="R204" s="457"/>
      <c r="S204" s="457"/>
      <c r="T204" s="457"/>
      <c r="U204" s="457"/>
      <c r="V204" s="457"/>
      <c r="W204" s="457"/>
      <c r="X204" s="457"/>
      <c r="Y204" s="457"/>
      <c r="Z204" s="457"/>
      <c r="AA204" s="457"/>
      <c r="AB204" s="457"/>
    </row>
    <row r="205" spans="1:28" ht="15.75">
      <c r="A205" s="458"/>
      <c r="B205" s="458"/>
      <c r="C205" s="458"/>
      <c r="D205" s="457"/>
      <c r="E205" s="457"/>
      <c r="F205" s="457"/>
      <c r="G205" s="457"/>
      <c r="H205" s="457"/>
      <c r="I205" s="457"/>
      <c r="J205" s="457"/>
      <c r="K205" s="457"/>
      <c r="L205" s="457"/>
      <c r="M205" s="457"/>
      <c r="N205" s="457"/>
      <c r="O205" s="457"/>
      <c r="P205" s="457"/>
      <c r="Q205" s="457"/>
      <c r="R205" s="457"/>
      <c r="S205" s="457"/>
      <c r="T205" s="457"/>
      <c r="U205" s="457"/>
      <c r="V205" s="457"/>
      <c r="W205" s="457"/>
      <c r="X205" s="457"/>
      <c r="Y205" s="457"/>
      <c r="Z205" s="457"/>
      <c r="AA205" s="457"/>
      <c r="AB205" s="457"/>
    </row>
    <row r="206" spans="1:28" ht="15.75">
      <c r="A206" s="458"/>
      <c r="B206" s="458"/>
      <c r="C206" s="458"/>
      <c r="D206" s="457"/>
      <c r="E206" s="457"/>
      <c r="F206" s="457"/>
      <c r="G206" s="457"/>
      <c r="H206" s="457"/>
      <c r="I206" s="457"/>
      <c r="J206" s="457"/>
      <c r="K206" s="457"/>
      <c r="L206" s="457"/>
      <c r="M206" s="457"/>
      <c r="N206" s="457"/>
      <c r="O206" s="457"/>
      <c r="P206" s="457"/>
      <c r="Q206" s="457"/>
      <c r="R206" s="457"/>
      <c r="S206" s="457"/>
      <c r="T206" s="457"/>
      <c r="U206" s="457"/>
      <c r="V206" s="457"/>
      <c r="W206" s="457"/>
      <c r="X206" s="457"/>
      <c r="Y206" s="457"/>
      <c r="Z206" s="457"/>
      <c r="AA206" s="457"/>
      <c r="AB206" s="457"/>
    </row>
    <row r="207" spans="1:28" ht="15.75">
      <c r="A207" s="458"/>
      <c r="B207" s="458"/>
      <c r="C207" s="458"/>
      <c r="D207" s="457"/>
      <c r="E207" s="457"/>
      <c r="F207" s="457"/>
      <c r="G207" s="457"/>
      <c r="H207" s="457"/>
      <c r="I207" s="457"/>
      <c r="J207" s="457"/>
      <c r="K207" s="457"/>
      <c r="L207" s="457"/>
      <c r="M207" s="457"/>
      <c r="N207" s="457"/>
      <c r="O207" s="457"/>
      <c r="P207" s="457"/>
      <c r="Q207" s="457"/>
      <c r="R207" s="457"/>
      <c r="S207" s="457"/>
      <c r="T207" s="457"/>
      <c r="U207" s="457"/>
      <c r="V207" s="457"/>
      <c r="W207" s="457"/>
      <c r="X207" s="457"/>
      <c r="Y207" s="457"/>
      <c r="Z207" s="457"/>
      <c r="AA207" s="457"/>
      <c r="AB207" s="457"/>
    </row>
    <row r="208" spans="1:28" ht="15.75">
      <c r="A208" s="458"/>
      <c r="B208" s="458"/>
      <c r="C208" s="458"/>
      <c r="D208" s="457"/>
      <c r="E208" s="457"/>
      <c r="F208" s="457"/>
      <c r="G208" s="457"/>
      <c r="H208" s="457"/>
      <c r="I208" s="457"/>
      <c r="J208" s="457"/>
      <c r="K208" s="457"/>
      <c r="L208" s="457"/>
      <c r="M208" s="457"/>
      <c r="N208" s="457"/>
      <c r="O208" s="457"/>
      <c r="P208" s="457"/>
      <c r="Q208" s="457"/>
      <c r="R208" s="457"/>
      <c r="S208" s="457"/>
      <c r="T208" s="457"/>
      <c r="U208" s="457"/>
      <c r="V208" s="457"/>
      <c r="W208" s="457"/>
      <c r="X208" s="457"/>
      <c r="Y208" s="457"/>
      <c r="Z208" s="457"/>
      <c r="AA208" s="457"/>
      <c r="AB208" s="457"/>
    </row>
    <row r="209" spans="1:28" ht="15.75">
      <c r="A209" s="458"/>
      <c r="B209" s="458"/>
      <c r="C209" s="458"/>
      <c r="D209" s="457"/>
      <c r="E209" s="457"/>
      <c r="F209" s="457"/>
      <c r="G209" s="457"/>
      <c r="H209" s="457"/>
      <c r="I209" s="457"/>
      <c r="J209" s="457"/>
      <c r="K209" s="457"/>
      <c r="L209" s="457"/>
      <c r="M209" s="457"/>
      <c r="N209" s="457"/>
      <c r="O209" s="457"/>
      <c r="P209" s="457"/>
      <c r="Q209" s="457"/>
      <c r="R209" s="457"/>
      <c r="S209" s="457"/>
      <c r="T209" s="457"/>
      <c r="U209" s="457"/>
      <c r="V209" s="457"/>
      <c r="W209" s="457"/>
      <c r="X209" s="457"/>
      <c r="Y209" s="457"/>
      <c r="Z209" s="457"/>
      <c r="AA209" s="457"/>
      <c r="AB209" s="457"/>
    </row>
    <row r="210" spans="1:28" ht="15.75">
      <c r="A210" s="458"/>
      <c r="B210" s="458"/>
      <c r="C210" s="458"/>
      <c r="D210" s="457"/>
      <c r="E210" s="457"/>
      <c r="F210" s="457"/>
      <c r="G210" s="457"/>
      <c r="H210" s="457"/>
      <c r="I210" s="457"/>
      <c r="J210" s="457"/>
      <c r="K210" s="457"/>
      <c r="L210" s="457"/>
      <c r="M210" s="457"/>
      <c r="N210" s="457"/>
      <c r="O210" s="457"/>
      <c r="P210" s="457"/>
      <c r="Q210" s="457"/>
      <c r="R210" s="457"/>
      <c r="S210" s="457"/>
      <c r="T210" s="457"/>
      <c r="U210" s="457"/>
      <c r="V210" s="457"/>
      <c r="W210" s="457"/>
      <c r="X210" s="457"/>
      <c r="Y210" s="457"/>
      <c r="Z210" s="457"/>
      <c r="AA210" s="457"/>
      <c r="AB210" s="457"/>
    </row>
    <row r="211" spans="1:28" ht="15.75">
      <c r="A211" s="458"/>
      <c r="B211" s="458"/>
      <c r="C211" s="458"/>
      <c r="D211" s="457"/>
      <c r="E211" s="457"/>
      <c r="F211" s="457"/>
      <c r="G211" s="457"/>
      <c r="H211" s="457"/>
      <c r="I211" s="457"/>
      <c r="J211" s="457"/>
      <c r="K211" s="457"/>
      <c r="L211" s="457"/>
      <c r="M211" s="457"/>
      <c r="N211" s="457"/>
      <c r="O211" s="457"/>
      <c r="P211" s="457"/>
      <c r="Q211" s="457"/>
      <c r="R211" s="457"/>
      <c r="S211" s="457"/>
      <c r="T211" s="457"/>
      <c r="U211" s="457"/>
      <c r="V211" s="457"/>
      <c r="W211" s="457"/>
      <c r="X211" s="457"/>
      <c r="Y211" s="457"/>
      <c r="Z211" s="457"/>
      <c r="AA211" s="457"/>
      <c r="AB211" s="457"/>
    </row>
    <row r="212" spans="1:28" ht="15.75">
      <c r="A212" s="458"/>
      <c r="B212" s="458"/>
      <c r="C212" s="458"/>
      <c r="D212" s="457"/>
      <c r="E212" s="457"/>
      <c r="F212" s="457"/>
      <c r="G212" s="457"/>
      <c r="H212" s="457"/>
      <c r="I212" s="457"/>
      <c r="J212" s="457"/>
      <c r="K212" s="457"/>
      <c r="L212" s="457"/>
      <c r="M212" s="457"/>
      <c r="N212" s="457"/>
      <c r="O212" s="457"/>
      <c r="P212" s="457"/>
      <c r="Q212" s="457"/>
      <c r="R212" s="457"/>
      <c r="S212" s="457"/>
      <c r="T212" s="457"/>
      <c r="U212" s="457"/>
      <c r="V212" s="457"/>
      <c r="W212" s="457"/>
      <c r="X212" s="457"/>
      <c r="Y212" s="457"/>
      <c r="Z212" s="457"/>
      <c r="AA212" s="457"/>
      <c r="AB212" s="457"/>
    </row>
    <row r="213" spans="1:28" ht="15.75">
      <c r="A213" s="458"/>
      <c r="B213" s="458"/>
      <c r="C213" s="458"/>
      <c r="D213" s="457"/>
      <c r="E213" s="457"/>
      <c r="F213" s="457"/>
      <c r="G213" s="457"/>
      <c r="H213" s="457"/>
      <c r="I213" s="457"/>
      <c r="J213" s="457"/>
      <c r="K213" s="457"/>
      <c r="L213" s="457"/>
      <c r="M213" s="457"/>
      <c r="N213" s="457"/>
      <c r="O213" s="457"/>
      <c r="P213" s="457"/>
      <c r="Q213" s="457"/>
      <c r="R213" s="457"/>
      <c r="S213" s="457"/>
      <c r="T213" s="457"/>
      <c r="U213" s="457"/>
      <c r="V213" s="457"/>
      <c r="W213" s="457"/>
      <c r="X213" s="457"/>
      <c r="Y213" s="457"/>
      <c r="Z213" s="457"/>
      <c r="AA213" s="457"/>
      <c r="AB213" s="457"/>
    </row>
    <row r="214" spans="1:28" ht="15.75">
      <c r="A214" s="458"/>
      <c r="B214" s="458"/>
      <c r="C214" s="458"/>
      <c r="D214" s="457"/>
      <c r="E214" s="457"/>
      <c r="F214" s="457"/>
      <c r="G214" s="457"/>
      <c r="H214" s="457"/>
      <c r="I214" s="457"/>
      <c r="J214" s="457"/>
      <c r="K214" s="457"/>
      <c r="L214" s="457"/>
      <c r="M214" s="457"/>
      <c r="N214" s="457"/>
      <c r="O214" s="457"/>
      <c r="P214" s="457"/>
      <c r="Q214" s="457"/>
      <c r="R214" s="457"/>
      <c r="S214" s="457"/>
      <c r="T214" s="457"/>
      <c r="U214" s="457"/>
      <c r="V214" s="457"/>
      <c r="W214" s="457"/>
      <c r="X214" s="457"/>
      <c r="Y214" s="457"/>
      <c r="Z214" s="457"/>
      <c r="AA214" s="457"/>
      <c r="AB214" s="457"/>
    </row>
    <row r="215" spans="1:28" ht="15.75">
      <c r="A215" s="458"/>
      <c r="B215" s="458"/>
      <c r="C215" s="458"/>
      <c r="D215" s="457"/>
      <c r="E215" s="457"/>
      <c r="F215" s="457"/>
      <c r="G215" s="457"/>
      <c r="H215" s="457"/>
      <c r="I215" s="457"/>
      <c r="J215" s="457"/>
      <c r="K215" s="457"/>
      <c r="L215" s="457"/>
      <c r="M215" s="457"/>
      <c r="N215" s="457"/>
      <c r="O215" s="457"/>
      <c r="P215" s="457"/>
      <c r="Q215" s="457"/>
      <c r="R215" s="457"/>
      <c r="S215" s="457"/>
      <c r="T215" s="457"/>
      <c r="U215" s="457"/>
      <c r="V215" s="457"/>
      <c r="W215" s="457"/>
      <c r="X215" s="457"/>
      <c r="Y215" s="457"/>
      <c r="Z215" s="457"/>
      <c r="AA215" s="457"/>
      <c r="AB215" s="457"/>
    </row>
    <row r="216" spans="1:28" ht="15.75">
      <c r="A216" s="458"/>
      <c r="B216" s="458"/>
      <c r="C216" s="458"/>
      <c r="D216" s="457"/>
      <c r="E216" s="457"/>
      <c r="F216" s="457"/>
      <c r="G216" s="457"/>
      <c r="H216" s="457"/>
      <c r="I216" s="457"/>
      <c r="J216" s="457"/>
      <c r="K216" s="457"/>
      <c r="L216" s="457"/>
      <c r="M216" s="457"/>
      <c r="N216" s="457"/>
      <c r="O216" s="457"/>
      <c r="P216" s="457"/>
      <c r="Q216" s="457"/>
      <c r="R216" s="457"/>
      <c r="S216" s="457"/>
      <c r="T216" s="457"/>
      <c r="U216" s="457"/>
      <c r="V216" s="457"/>
      <c r="W216" s="457"/>
      <c r="X216" s="457"/>
      <c r="Y216" s="457"/>
      <c r="Z216" s="457"/>
      <c r="AA216" s="457"/>
      <c r="AB216" s="457"/>
    </row>
    <row r="217" spans="1:28" ht="15.75">
      <c r="A217" s="458"/>
      <c r="B217" s="458"/>
      <c r="C217" s="458"/>
      <c r="D217" s="457"/>
      <c r="E217" s="457"/>
      <c r="F217" s="457"/>
      <c r="G217" s="457"/>
      <c r="H217" s="457"/>
      <c r="I217" s="457"/>
      <c r="J217" s="457"/>
      <c r="K217" s="457"/>
      <c r="L217" s="457"/>
      <c r="M217" s="457"/>
      <c r="N217" s="457"/>
      <c r="O217" s="457"/>
      <c r="P217" s="457"/>
      <c r="Q217" s="457"/>
      <c r="R217" s="457"/>
      <c r="S217" s="457"/>
      <c r="T217" s="457"/>
      <c r="U217" s="457"/>
      <c r="V217" s="457"/>
      <c r="W217" s="457"/>
      <c r="X217" s="457"/>
      <c r="Y217" s="457"/>
      <c r="Z217" s="457"/>
      <c r="AA217" s="457"/>
      <c r="AB217" s="457"/>
    </row>
    <row r="218" spans="1:28" ht="15.75">
      <c r="A218" s="458"/>
      <c r="B218" s="458"/>
      <c r="C218" s="458"/>
      <c r="D218" s="457"/>
      <c r="E218" s="457"/>
      <c r="F218" s="457"/>
      <c r="G218" s="457"/>
      <c r="H218" s="457"/>
      <c r="I218" s="457"/>
      <c r="J218" s="457"/>
      <c r="K218" s="457"/>
      <c r="L218" s="457"/>
      <c r="M218" s="457"/>
      <c r="N218" s="457"/>
      <c r="O218" s="457"/>
      <c r="P218" s="457"/>
      <c r="Q218" s="457"/>
      <c r="R218" s="457"/>
      <c r="S218" s="457"/>
      <c r="T218" s="457"/>
      <c r="U218" s="457"/>
      <c r="V218" s="457"/>
      <c r="W218" s="457"/>
      <c r="X218" s="457"/>
      <c r="Y218" s="457"/>
      <c r="Z218" s="457"/>
      <c r="AA218" s="457"/>
      <c r="AB218" s="457"/>
    </row>
    <row r="219" spans="1:28" ht="15.75">
      <c r="A219" s="458"/>
      <c r="B219" s="458"/>
      <c r="C219" s="458"/>
      <c r="D219" s="457"/>
      <c r="E219" s="457"/>
      <c r="F219" s="457"/>
      <c r="G219" s="457"/>
      <c r="H219" s="457"/>
      <c r="I219" s="457"/>
      <c r="J219" s="457"/>
      <c r="K219" s="457"/>
      <c r="L219" s="457"/>
      <c r="M219" s="457"/>
      <c r="N219" s="457"/>
      <c r="O219" s="457"/>
      <c r="P219" s="457"/>
      <c r="Q219" s="457"/>
      <c r="R219" s="457"/>
      <c r="S219" s="457"/>
      <c r="T219" s="457"/>
      <c r="U219" s="457"/>
      <c r="V219" s="457"/>
      <c r="W219" s="457"/>
      <c r="X219" s="457"/>
      <c r="Y219" s="457"/>
      <c r="Z219" s="457"/>
      <c r="AA219" s="457"/>
      <c r="AB219" s="457"/>
    </row>
    <row r="220" spans="1:28" ht="15.75">
      <c r="A220" s="458"/>
      <c r="B220" s="458"/>
      <c r="C220" s="458"/>
      <c r="D220" s="457"/>
      <c r="E220" s="457"/>
      <c r="F220" s="457"/>
      <c r="G220" s="457"/>
      <c r="H220" s="457"/>
      <c r="I220" s="457"/>
      <c r="J220" s="457"/>
      <c r="K220" s="457"/>
      <c r="L220" s="457"/>
      <c r="M220" s="457"/>
      <c r="N220" s="457"/>
      <c r="O220" s="457"/>
      <c r="P220" s="457"/>
      <c r="Q220" s="457"/>
      <c r="R220" s="457"/>
      <c r="S220" s="457"/>
      <c r="T220" s="457"/>
      <c r="U220" s="457"/>
      <c r="V220" s="457"/>
      <c r="W220" s="457"/>
      <c r="X220" s="457"/>
      <c r="Y220" s="457"/>
      <c r="Z220" s="457"/>
      <c r="AA220" s="457"/>
      <c r="AB220" s="457"/>
    </row>
    <row r="221" spans="1:28" ht="15.75">
      <c r="A221" s="458"/>
      <c r="B221" s="458"/>
      <c r="C221" s="458"/>
      <c r="D221" s="457"/>
      <c r="E221" s="457"/>
      <c r="F221" s="457"/>
      <c r="G221" s="457"/>
      <c r="H221" s="457"/>
      <c r="I221" s="457"/>
      <c r="J221" s="457"/>
      <c r="K221" s="457"/>
      <c r="L221" s="457"/>
      <c r="M221" s="457"/>
      <c r="N221" s="457"/>
      <c r="O221" s="457"/>
      <c r="P221" s="457"/>
      <c r="Q221" s="457"/>
      <c r="R221" s="457"/>
      <c r="S221" s="457"/>
      <c r="T221" s="457"/>
      <c r="U221" s="457"/>
      <c r="V221" s="457"/>
      <c r="W221" s="457"/>
      <c r="X221" s="457"/>
      <c r="Y221" s="457"/>
      <c r="Z221" s="457"/>
      <c r="AA221" s="457"/>
      <c r="AB221" s="457"/>
    </row>
    <row r="222" spans="1:28" ht="15.75">
      <c r="A222" s="458"/>
      <c r="B222" s="458"/>
      <c r="C222" s="458"/>
      <c r="D222" s="457"/>
      <c r="E222" s="457"/>
      <c r="F222" s="457"/>
      <c r="G222" s="457"/>
      <c r="H222" s="457"/>
      <c r="I222" s="457"/>
      <c r="J222" s="457"/>
      <c r="K222" s="457"/>
      <c r="L222" s="457"/>
      <c r="M222" s="457"/>
      <c r="N222" s="457"/>
      <c r="O222" s="457"/>
      <c r="P222" s="457"/>
      <c r="Q222" s="457"/>
      <c r="R222" s="457"/>
      <c r="S222" s="457"/>
      <c r="T222" s="457"/>
      <c r="U222" s="457"/>
      <c r="V222" s="457"/>
      <c r="W222" s="457"/>
      <c r="X222" s="457"/>
      <c r="Y222" s="457"/>
      <c r="Z222" s="457"/>
      <c r="AA222" s="457"/>
      <c r="AB222" s="457"/>
    </row>
    <row r="223" spans="1:28" ht="15.75">
      <c r="A223" s="458"/>
      <c r="B223" s="458"/>
      <c r="C223" s="458"/>
      <c r="D223" s="457"/>
      <c r="E223" s="457"/>
      <c r="F223" s="457"/>
      <c r="G223" s="457"/>
      <c r="H223" s="457"/>
      <c r="I223" s="457"/>
      <c r="J223" s="457"/>
      <c r="K223" s="457"/>
      <c r="L223" s="457"/>
      <c r="M223" s="457"/>
      <c r="N223" s="457"/>
      <c r="O223" s="457"/>
      <c r="P223" s="457"/>
      <c r="Q223" s="457"/>
      <c r="R223" s="457"/>
      <c r="S223" s="457"/>
      <c r="T223" s="457"/>
      <c r="U223" s="457"/>
      <c r="V223" s="457"/>
      <c r="W223" s="457"/>
      <c r="X223" s="457"/>
      <c r="Y223" s="457"/>
      <c r="Z223" s="457"/>
      <c r="AA223" s="457"/>
      <c r="AB223" s="457"/>
    </row>
    <row r="224" spans="1:28" ht="15.75">
      <c r="A224" s="458"/>
      <c r="B224" s="458"/>
      <c r="C224" s="458"/>
      <c r="D224" s="457"/>
      <c r="E224" s="457"/>
      <c r="F224" s="457"/>
      <c r="G224" s="457"/>
      <c r="H224" s="457"/>
      <c r="I224" s="457"/>
      <c r="J224" s="457"/>
      <c r="K224" s="457"/>
      <c r="L224" s="457"/>
      <c r="M224" s="457"/>
      <c r="N224" s="457"/>
      <c r="O224" s="457"/>
      <c r="P224" s="457"/>
      <c r="Q224" s="457"/>
      <c r="R224" s="457"/>
      <c r="S224" s="457"/>
      <c r="T224" s="457"/>
      <c r="U224" s="457"/>
      <c r="V224" s="457"/>
      <c r="W224" s="457"/>
      <c r="X224" s="457"/>
      <c r="Y224" s="457"/>
      <c r="Z224" s="457"/>
      <c r="AA224" s="457"/>
      <c r="AB224" s="457"/>
    </row>
    <row r="225" spans="1:28" ht="15.75">
      <c r="A225" s="458"/>
      <c r="B225" s="458"/>
      <c r="C225" s="458"/>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row>
    <row r="226" spans="1:28" ht="15.75">
      <c r="A226" s="458"/>
      <c r="B226" s="458"/>
      <c r="C226" s="458"/>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row>
    <row r="227" spans="1:28" ht="15.75">
      <c r="A227" s="458"/>
      <c r="B227" s="458"/>
      <c r="C227" s="458"/>
      <c r="D227" s="457"/>
      <c r="E227" s="457"/>
      <c r="F227" s="457"/>
      <c r="G227" s="457"/>
      <c r="H227" s="457"/>
      <c r="I227" s="457"/>
      <c r="J227" s="457"/>
      <c r="K227" s="457"/>
      <c r="L227" s="457"/>
      <c r="M227" s="457"/>
      <c r="N227" s="457"/>
      <c r="O227" s="457"/>
      <c r="P227" s="457"/>
      <c r="Q227" s="457"/>
      <c r="R227" s="457"/>
      <c r="S227" s="457"/>
      <c r="T227" s="457"/>
      <c r="U227" s="457"/>
      <c r="V227" s="457"/>
      <c r="W227" s="457"/>
      <c r="X227" s="457"/>
      <c r="Y227" s="457"/>
      <c r="Z227" s="457"/>
      <c r="AA227" s="457"/>
      <c r="AB227" s="457"/>
    </row>
    <row r="228" spans="1:28" ht="15.75">
      <c r="A228" s="458"/>
      <c r="B228" s="458"/>
      <c r="C228" s="458"/>
      <c r="D228" s="457"/>
      <c r="E228" s="457"/>
      <c r="F228" s="457"/>
      <c r="G228" s="457"/>
      <c r="H228" s="457"/>
      <c r="I228" s="457"/>
      <c r="J228" s="457"/>
      <c r="K228" s="457"/>
      <c r="L228" s="457"/>
      <c r="M228" s="457"/>
      <c r="N228" s="457"/>
      <c r="O228" s="457"/>
      <c r="P228" s="457"/>
      <c r="Q228" s="457"/>
      <c r="R228" s="457"/>
      <c r="S228" s="457"/>
      <c r="T228" s="457"/>
      <c r="U228" s="457"/>
      <c r="V228" s="457"/>
      <c r="W228" s="457"/>
      <c r="X228" s="457"/>
      <c r="Y228" s="457"/>
      <c r="Z228" s="457"/>
      <c r="AA228" s="457"/>
      <c r="AB228" s="457"/>
    </row>
    <row r="229" spans="1:28" ht="15.75">
      <c r="A229" s="458"/>
      <c r="B229" s="458"/>
      <c r="C229" s="458"/>
      <c r="D229" s="457"/>
      <c r="E229" s="457"/>
      <c r="F229" s="457"/>
      <c r="G229" s="457"/>
      <c r="H229" s="457"/>
      <c r="I229" s="457"/>
      <c r="J229" s="457"/>
      <c r="K229" s="457"/>
      <c r="L229" s="457"/>
      <c r="M229" s="457"/>
      <c r="N229" s="457"/>
      <c r="O229" s="457"/>
      <c r="P229" s="457"/>
      <c r="Q229" s="457"/>
      <c r="R229" s="457"/>
      <c r="S229" s="457"/>
      <c r="T229" s="457"/>
      <c r="U229" s="457"/>
      <c r="V229" s="457"/>
      <c r="W229" s="457"/>
      <c r="X229" s="457"/>
      <c r="Y229" s="457"/>
      <c r="Z229" s="457"/>
      <c r="AA229" s="457"/>
      <c r="AB229" s="457"/>
    </row>
    <row r="230" spans="1:28" ht="15.75">
      <c r="A230" s="458"/>
      <c r="B230" s="458"/>
      <c r="C230" s="458"/>
      <c r="D230" s="457"/>
      <c r="E230" s="457"/>
      <c r="F230" s="457"/>
      <c r="G230" s="457"/>
      <c r="H230" s="457"/>
      <c r="I230" s="457"/>
      <c r="J230" s="457"/>
      <c r="K230" s="457"/>
      <c r="L230" s="457"/>
      <c r="M230" s="457"/>
      <c r="N230" s="457"/>
      <c r="O230" s="457"/>
      <c r="P230" s="457"/>
      <c r="Q230" s="457"/>
      <c r="R230" s="457"/>
      <c r="S230" s="457"/>
      <c r="T230" s="457"/>
      <c r="U230" s="457"/>
      <c r="V230" s="457"/>
      <c r="W230" s="457"/>
      <c r="X230" s="457"/>
      <c r="Y230" s="457"/>
      <c r="Z230" s="457"/>
      <c r="AA230" s="457"/>
      <c r="AB230" s="457"/>
    </row>
    <row r="231" spans="1:28" ht="15.75">
      <c r="A231" s="458"/>
      <c r="B231" s="458"/>
      <c r="C231" s="458"/>
      <c r="D231" s="457"/>
      <c r="E231" s="457"/>
      <c r="F231" s="457"/>
      <c r="G231" s="457"/>
      <c r="H231" s="457"/>
      <c r="I231" s="457"/>
      <c r="J231" s="457"/>
      <c r="K231" s="457"/>
      <c r="L231" s="457"/>
      <c r="M231" s="457"/>
      <c r="N231" s="457"/>
      <c r="O231" s="457"/>
      <c r="P231" s="457"/>
      <c r="Q231" s="457"/>
      <c r="R231" s="457"/>
      <c r="S231" s="457"/>
      <c r="T231" s="457"/>
      <c r="U231" s="457"/>
      <c r="V231" s="457"/>
      <c r="W231" s="457"/>
      <c r="X231" s="457"/>
      <c r="Y231" s="457"/>
      <c r="Z231" s="457"/>
      <c r="AA231" s="457"/>
      <c r="AB231" s="457"/>
    </row>
    <row r="232" spans="1:28" ht="15.75">
      <c r="A232" s="458"/>
      <c r="B232" s="458"/>
      <c r="C232" s="458"/>
      <c r="D232" s="457"/>
      <c r="E232" s="457"/>
      <c r="F232" s="457"/>
      <c r="G232" s="457"/>
      <c r="H232" s="457"/>
      <c r="I232" s="457"/>
      <c r="J232" s="457"/>
      <c r="K232" s="457"/>
      <c r="L232" s="457"/>
      <c r="M232" s="457"/>
      <c r="N232" s="457"/>
      <c r="O232" s="457"/>
      <c r="P232" s="457"/>
      <c r="Q232" s="457"/>
      <c r="R232" s="457"/>
      <c r="S232" s="457"/>
      <c r="T232" s="457"/>
      <c r="U232" s="457"/>
      <c r="V232" s="457"/>
      <c r="W232" s="457"/>
      <c r="X232" s="457"/>
      <c r="Y232" s="457"/>
      <c r="Z232" s="457"/>
      <c r="AA232" s="457"/>
      <c r="AB232" s="457"/>
    </row>
    <row r="233" spans="1:28" ht="15.75">
      <c r="A233" s="458"/>
      <c r="B233" s="458"/>
      <c r="C233" s="458"/>
      <c r="D233" s="457"/>
      <c r="E233" s="457"/>
      <c r="F233" s="457"/>
      <c r="G233" s="457"/>
      <c r="H233" s="457"/>
      <c r="I233" s="457"/>
      <c r="J233" s="457"/>
      <c r="K233" s="457"/>
      <c r="L233" s="457"/>
      <c r="M233" s="457"/>
      <c r="N233" s="457"/>
      <c r="O233" s="457"/>
      <c r="P233" s="457"/>
      <c r="Q233" s="457"/>
      <c r="R233" s="457"/>
      <c r="S233" s="457"/>
      <c r="T233" s="457"/>
      <c r="U233" s="457"/>
      <c r="V233" s="457"/>
      <c r="W233" s="457"/>
      <c r="X233" s="457"/>
      <c r="Y233" s="457"/>
      <c r="Z233" s="457"/>
      <c r="AA233" s="457"/>
      <c r="AB233" s="457"/>
    </row>
    <row r="234" spans="1:28" ht="15.75">
      <c r="A234" s="458"/>
      <c r="B234" s="458"/>
      <c r="C234" s="458"/>
      <c r="D234" s="457"/>
      <c r="E234" s="457"/>
      <c r="F234" s="457"/>
      <c r="G234" s="457"/>
      <c r="H234" s="457"/>
      <c r="I234" s="457"/>
      <c r="J234" s="457"/>
      <c r="K234" s="457"/>
      <c r="L234" s="457"/>
      <c r="M234" s="457"/>
      <c r="N234" s="457"/>
      <c r="O234" s="457"/>
      <c r="P234" s="457"/>
      <c r="Q234" s="457"/>
      <c r="R234" s="457"/>
      <c r="S234" s="457"/>
      <c r="T234" s="457"/>
      <c r="U234" s="457"/>
      <c r="V234" s="457"/>
      <c r="W234" s="457"/>
      <c r="X234" s="457"/>
      <c r="Y234" s="457"/>
      <c r="Z234" s="457"/>
      <c r="AA234" s="457"/>
      <c r="AB234" s="457"/>
    </row>
    <row r="235" spans="1:28" ht="15.75">
      <c r="A235" s="458"/>
      <c r="B235" s="458"/>
      <c r="C235" s="458"/>
      <c r="D235" s="457"/>
      <c r="E235" s="457"/>
      <c r="F235" s="457"/>
      <c r="G235" s="457"/>
      <c r="H235" s="457"/>
      <c r="I235" s="457"/>
      <c r="J235" s="457"/>
      <c r="K235" s="457"/>
      <c r="L235" s="457"/>
      <c r="M235" s="457"/>
      <c r="N235" s="457"/>
      <c r="O235" s="457"/>
      <c r="P235" s="457"/>
      <c r="Q235" s="457"/>
      <c r="R235" s="457"/>
      <c r="S235" s="457"/>
      <c r="T235" s="457"/>
      <c r="U235" s="457"/>
      <c r="V235" s="457"/>
      <c r="W235" s="457"/>
      <c r="X235" s="457"/>
      <c r="Y235" s="457"/>
      <c r="Z235" s="457"/>
      <c r="AA235" s="457"/>
      <c r="AB235" s="457"/>
    </row>
    <row r="236" spans="1:28" ht="15.75">
      <c r="A236" s="458"/>
      <c r="B236" s="458"/>
      <c r="C236" s="458"/>
      <c r="D236" s="457"/>
      <c r="E236" s="457"/>
      <c r="F236" s="457"/>
      <c r="G236" s="457"/>
      <c r="H236" s="457"/>
      <c r="I236" s="457"/>
      <c r="J236" s="457"/>
      <c r="K236" s="457"/>
      <c r="L236" s="457"/>
      <c r="M236" s="457"/>
      <c r="N236" s="457"/>
      <c r="O236" s="457"/>
      <c r="P236" s="457"/>
      <c r="Q236" s="457"/>
      <c r="R236" s="457"/>
      <c r="S236" s="457"/>
      <c r="T236" s="457"/>
      <c r="U236" s="457"/>
      <c r="V236" s="457"/>
      <c r="W236" s="457"/>
      <c r="X236" s="457"/>
      <c r="Y236" s="457"/>
      <c r="Z236" s="457"/>
      <c r="AA236" s="457"/>
      <c r="AB236" s="457"/>
    </row>
    <row r="237" spans="1:28" ht="15.75">
      <c r="A237" s="458"/>
      <c r="B237" s="458"/>
      <c r="C237" s="458"/>
      <c r="D237" s="457"/>
      <c r="E237" s="457"/>
      <c r="F237" s="457"/>
      <c r="G237" s="457"/>
      <c r="H237" s="457"/>
      <c r="I237" s="457"/>
      <c r="J237" s="457"/>
      <c r="K237" s="457"/>
      <c r="L237" s="457"/>
      <c r="M237" s="457"/>
      <c r="N237" s="457"/>
      <c r="O237" s="457"/>
      <c r="P237" s="457"/>
      <c r="Q237" s="457"/>
      <c r="R237" s="457"/>
      <c r="S237" s="457"/>
      <c r="T237" s="457"/>
      <c r="U237" s="457"/>
      <c r="V237" s="457"/>
      <c r="W237" s="457"/>
      <c r="X237" s="457"/>
      <c r="Y237" s="457"/>
      <c r="Z237" s="457"/>
      <c r="AA237" s="457"/>
      <c r="AB237" s="457"/>
    </row>
    <row r="238" spans="1:28" ht="15.75">
      <c r="A238" s="458"/>
      <c r="B238" s="458"/>
      <c r="C238" s="458"/>
      <c r="D238" s="457"/>
      <c r="E238" s="457"/>
      <c r="F238" s="457"/>
      <c r="G238" s="457"/>
      <c r="H238" s="457"/>
      <c r="I238" s="457"/>
      <c r="J238" s="457"/>
      <c r="K238" s="457"/>
      <c r="L238" s="457"/>
      <c r="M238" s="457"/>
      <c r="N238" s="457"/>
      <c r="O238" s="457"/>
      <c r="P238" s="457"/>
      <c r="Q238" s="457"/>
      <c r="R238" s="457"/>
      <c r="S238" s="457"/>
      <c r="T238" s="457"/>
      <c r="U238" s="457"/>
      <c r="V238" s="457"/>
      <c r="W238" s="457"/>
      <c r="X238" s="457"/>
      <c r="Y238" s="457"/>
      <c r="Z238" s="457"/>
      <c r="AA238" s="457"/>
      <c r="AB238" s="457"/>
    </row>
    <row r="239" spans="1:28" ht="15.75">
      <c r="A239" s="458"/>
      <c r="B239" s="458"/>
      <c r="C239" s="458"/>
      <c r="D239" s="457"/>
      <c r="E239" s="457"/>
      <c r="F239" s="457"/>
      <c r="G239" s="457"/>
      <c r="H239" s="457"/>
      <c r="I239" s="457"/>
      <c r="J239" s="457"/>
      <c r="K239" s="457"/>
      <c r="L239" s="457"/>
      <c r="M239" s="457"/>
      <c r="N239" s="457"/>
      <c r="O239" s="457"/>
      <c r="P239" s="457"/>
      <c r="Q239" s="457"/>
      <c r="R239" s="457"/>
      <c r="S239" s="457"/>
      <c r="T239" s="457"/>
      <c r="U239" s="457"/>
      <c r="V239" s="457"/>
      <c r="W239" s="457"/>
      <c r="X239" s="457"/>
      <c r="Y239" s="457"/>
      <c r="Z239" s="457"/>
      <c r="AA239" s="457"/>
      <c r="AB239" s="457"/>
    </row>
    <row r="240" spans="1:28" ht="15.75">
      <c r="A240" s="458"/>
      <c r="B240" s="458"/>
      <c r="C240" s="458"/>
      <c r="D240" s="457"/>
      <c r="E240" s="457"/>
      <c r="F240" s="457"/>
      <c r="G240" s="457"/>
      <c r="H240" s="457"/>
      <c r="I240" s="457"/>
      <c r="J240" s="457"/>
      <c r="K240" s="457"/>
      <c r="L240" s="457"/>
      <c r="M240" s="457"/>
      <c r="N240" s="457"/>
      <c r="O240" s="457"/>
      <c r="P240" s="457"/>
      <c r="Q240" s="457"/>
      <c r="R240" s="457"/>
      <c r="S240" s="457"/>
      <c r="T240" s="457"/>
      <c r="U240" s="457"/>
      <c r="V240" s="457"/>
      <c r="W240" s="457"/>
      <c r="X240" s="457"/>
      <c r="Y240" s="457"/>
      <c r="Z240" s="457"/>
      <c r="AA240" s="457"/>
      <c r="AB240" s="457"/>
    </row>
    <row r="241" spans="1:28" ht="15.75">
      <c r="A241" s="458"/>
      <c r="B241" s="458"/>
      <c r="C241" s="458"/>
      <c r="D241" s="457"/>
      <c r="E241" s="457"/>
      <c r="F241" s="457"/>
      <c r="G241" s="457"/>
      <c r="H241" s="457"/>
      <c r="I241" s="457"/>
      <c r="J241" s="457"/>
      <c r="K241" s="457"/>
      <c r="L241" s="457"/>
      <c r="M241" s="457"/>
      <c r="N241" s="457"/>
      <c r="O241" s="457"/>
      <c r="P241" s="457"/>
      <c r="Q241" s="457"/>
      <c r="R241" s="457"/>
      <c r="S241" s="457"/>
      <c r="T241" s="457"/>
      <c r="U241" s="457"/>
      <c r="V241" s="457"/>
      <c r="W241" s="457"/>
      <c r="X241" s="457"/>
      <c r="Y241" s="457"/>
      <c r="Z241" s="457"/>
      <c r="AA241" s="457"/>
      <c r="AB241" s="457"/>
    </row>
    <row r="242" spans="1:28" ht="15.75">
      <c r="A242" s="458"/>
      <c r="B242" s="458"/>
      <c r="C242" s="458"/>
      <c r="D242" s="457"/>
      <c r="E242" s="457"/>
      <c r="F242" s="457"/>
      <c r="G242" s="457"/>
      <c r="H242" s="457"/>
      <c r="I242" s="457"/>
      <c r="J242" s="457"/>
      <c r="K242" s="457"/>
      <c r="L242" s="457"/>
      <c r="M242" s="457"/>
      <c r="N242" s="457"/>
      <c r="O242" s="457"/>
      <c r="P242" s="457"/>
      <c r="Q242" s="457"/>
      <c r="R242" s="457"/>
      <c r="S242" s="457"/>
      <c r="T242" s="457"/>
      <c r="U242" s="457"/>
      <c r="V242" s="457"/>
      <c r="W242" s="457"/>
      <c r="X242" s="457"/>
      <c r="Y242" s="457"/>
      <c r="Z242" s="457"/>
      <c r="AA242" s="457"/>
      <c r="AB242" s="457"/>
    </row>
    <row r="243" spans="1:28" ht="15.75">
      <c r="A243" s="458"/>
      <c r="B243" s="458"/>
      <c r="C243" s="458"/>
      <c r="D243" s="457"/>
      <c r="E243" s="457"/>
      <c r="F243" s="457"/>
      <c r="G243" s="457"/>
      <c r="H243" s="457"/>
      <c r="I243" s="457"/>
      <c r="J243" s="457"/>
      <c r="K243" s="457"/>
      <c r="L243" s="457"/>
      <c r="M243" s="457"/>
      <c r="N243" s="457"/>
      <c r="O243" s="457"/>
      <c r="P243" s="457"/>
      <c r="Q243" s="457"/>
      <c r="R243" s="457"/>
      <c r="S243" s="457"/>
      <c r="T243" s="457"/>
      <c r="U243" s="457"/>
      <c r="V243" s="457"/>
      <c r="W243" s="457"/>
      <c r="X243" s="457"/>
      <c r="Y243" s="457"/>
      <c r="Z243" s="457"/>
      <c r="AA243" s="457"/>
      <c r="AB243" s="457"/>
    </row>
    <row r="244" spans="1:28" ht="15.75">
      <c r="A244" s="458"/>
      <c r="B244" s="458"/>
      <c r="C244" s="458"/>
      <c r="D244" s="457"/>
      <c r="E244" s="457"/>
      <c r="F244" s="457"/>
      <c r="G244" s="457"/>
      <c r="H244" s="457"/>
      <c r="I244" s="457"/>
      <c r="J244" s="457"/>
      <c r="K244" s="457"/>
      <c r="L244" s="457"/>
      <c r="M244" s="457"/>
      <c r="N244" s="457"/>
      <c r="O244" s="457"/>
      <c r="P244" s="457"/>
      <c r="Q244" s="457"/>
      <c r="R244" s="457"/>
      <c r="S244" s="457"/>
      <c r="T244" s="457"/>
      <c r="U244" s="457"/>
      <c r="V244" s="457"/>
      <c r="W244" s="457"/>
      <c r="X244" s="457"/>
      <c r="Y244" s="457"/>
      <c r="Z244" s="457"/>
      <c r="AA244" s="457"/>
      <c r="AB244" s="457"/>
    </row>
    <row r="245" spans="1:28" ht="15.75">
      <c r="A245" s="458"/>
      <c r="B245" s="458"/>
      <c r="C245" s="458"/>
      <c r="D245" s="457"/>
      <c r="E245" s="457"/>
      <c r="F245" s="457"/>
      <c r="G245" s="457"/>
      <c r="H245" s="457"/>
      <c r="I245" s="457"/>
      <c r="J245" s="457"/>
      <c r="K245" s="457"/>
      <c r="L245" s="457"/>
      <c r="M245" s="457"/>
      <c r="N245" s="457"/>
      <c r="O245" s="457"/>
      <c r="P245" s="457"/>
      <c r="Q245" s="457"/>
      <c r="R245" s="457"/>
      <c r="S245" s="457"/>
      <c r="T245" s="457"/>
      <c r="U245" s="457"/>
      <c r="V245" s="457"/>
      <c r="W245" s="457"/>
      <c r="X245" s="457"/>
      <c r="Y245" s="457"/>
      <c r="Z245" s="457"/>
      <c r="AA245" s="457"/>
      <c r="AB245" s="457"/>
    </row>
    <row r="246" spans="1:28" ht="15.75">
      <c r="A246" s="458"/>
      <c r="B246" s="458"/>
      <c r="C246" s="458"/>
      <c r="D246" s="457"/>
      <c r="E246" s="457"/>
      <c r="F246" s="457"/>
      <c r="G246" s="457"/>
      <c r="H246" s="457"/>
      <c r="I246" s="457"/>
      <c r="J246" s="457"/>
      <c r="K246" s="457"/>
      <c r="L246" s="457"/>
      <c r="M246" s="457"/>
      <c r="N246" s="457"/>
      <c r="O246" s="457"/>
      <c r="P246" s="457"/>
      <c r="Q246" s="457"/>
      <c r="R246" s="457"/>
      <c r="S246" s="457"/>
      <c r="T246" s="457"/>
      <c r="U246" s="457"/>
      <c r="V246" s="457"/>
      <c r="W246" s="457"/>
      <c r="X246" s="457"/>
      <c r="Y246" s="457"/>
      <c r="Z246" s="457"/>
      <c r="AA246" s="457"/>
      <c r="AB246" s="457"/>
    </row>
    <row r="247" spans="1:28" ht="15.75">
      <c r="A247" s="458"/>
      <c r="B247" s="458"/>
      <c r="C247" s="458"/>
      <c r="D247" s="457"/>
      <c r="E247" s="457"/>
      <c r="F247" s="457"/>
      <c r="G247" s="457"/>
      <c r="H247" s="457"/>
      <c r="I247" s="457"/>
      <c r="J247" s="457"/>
      <c r="K247" s="457"/>
      <c r="L247" s="457"/>
      <c r="M247" s="457"/>
      <c r="N247" s="457"/>
      <c r="O247" s="457"/>
      <c r="P247" s="457"/>
      <c r="Q247" s="457"/>
      <c r="R247" s="457"/>
      <c r="S247" s="457"/>
      <c r="T247" s="457"/>
      <c r="U247" s="457"/>
      <c r="V247" s="457"/>
      <c r="W247" s="457"/>
      <c r="X247" s="457"/>
      <c r="Y247" s="457"/>
      <c r="Z247" s="457"/>
      <c r="AA247" s="457"/>
      <c r="AB247" s="457"/>
    </row>
    <row r="248" spans="1:28" ht="15.75">
      <c r="A248" s="458"/>
      <c r="B248" s="458"/>
      <c r="C248" s="458"/>
      <c r="D248" s="457"/>
      <c r="E248" s="457"/>
      <c r="F248" s="457"/>
      <c r="G248" s="457"/>
      <c r="H248" s="457"/>
      <c r="I248" s="457"/>
      <c r="J248" s="457"/>
      <c r="K248" s="457"/>
      <c r="L248" s="457"/>
      <c r="M248" s="457"/>
      <c r="N248" s="457"/>
      <c r="O248" s="457"/>
      <c r="P248" s="457"/>
      <c r="Q248" s="457"/>
      <c r="R248" s="457"/>
      <c r="S248" s="457"/>
      <c r="T248" s="457"/>
      <c r="U248" s="457"/>
      <c r="V248" s="457"/>
      <c r="W248" s="457"/>
      <c r="X248" s="457"/>
      <c r="Y248" s="457"/>
      <c r="Z248" s="457"/>
      <c r="AA248" s="457"/>
      <c r="AB248" s="457"/>
    </row>
    <row r="249" spans="1:28" ht="15.75">
      <c r="A249" s="458"/>
      <c r="B249" s="458"/>
      <c r="C249" s="458"/>
      <c r="D249" s="457"/>
      <c r="E249" s="457"/>
      <c r="F249" s="457"/>
      <c r="G249" s="457"/>
      <c r="H249" s="457"/>
      <c r="I249" s="457"/>
      <c r="J249" s="457"/>
      <c r="K249" s="457"/>
      <c r="L249" s="457"/>
      <c r="M249" s="457"/>
      <c r="N249" s="457"/>
      <c r="O249" s="457"/>
      <c r="P249" s="457"/>
      <c r="Q249" s="457"/>
      <c r="R249" s="457"/>
      <c r="S249" s="457"/>
      <c r="T249" s="457"/>
      <c r="U249" s="457"/>
      <c r="V249" s="457"/>
      <c r="W249" s="457"/>
      <c r="X249" s="457"/>
      <c r="Y249" s="457"/>
      <c r="Z249" s="457"/>
      <c r="AA249" s="457"/>
      <c r="AB249" s="457"/>
    </row>
    <row r="250" spans="1:28" ht="15.75">
      <c r="A250" s="458"/>
      <c r="B250" s="458"/>
      <c r="C250" s="458"/>
      <c r="D250" s="457"/>
      <c r="E250" s="457"/>
      <c r="F250" s="457"/>
      <c r="G250" s="457"/>
      <c r="H250" s="457"/>
      <c r="I250" s="457"/>
      <c r="J250" s="457"/>
      <c r="K250" s="457"/>
      <c r="L250" s="457"/>
      <c r="M250" s="457"/>
      <c r="N250" s="457"/>
      <c r="O250" s="457"/>
      <c r="P250" s="457"/>
      <c r="Q250" s="457"/>
      <c r="R250" s="457"/>
      <c r="S250" s="457"/>
      <c r="T250" s="457"/>
      <c r="U250" s="457"/>
      <c r="V250" s="457"/>
      <c r="W250" s="457"/>
      <c r="X250" s="457"/>
      <c r="Y250" s="457"/>
      <c r="Z250" s="457"/>
      <c r="AA250" s="457"/>
      <c r="AB250" s="457"/>
    </row>
    <row r="251" spans="1:28" ht="15.75">
      <c r="A251" s="458"/>
      <c r="B251" s="458"/>
      <c r="C251" s="458"/>
      <c r="D251" s="457"/>
      <c r="E251" s="457"/>
      <c r="F251" s="457"/>
      <c r="G251" s="457"/>
      <c r="H251" s="457"/>
      <c r="I251" s="457"/>
      <c r="J251" s="457"/>
      <c r="K251" s="457"/>
      <c r="L251" s="457"/>
      <c r="M251" s="457"/>
      <c r="N251" s="457"/>
      <c r="O251" s="457"/>
      <c r="P251" s="457"/>
      <c r="Q251" s="457"/>
      <c r="R251" s="457"/>
      <c r="S251" s="457"/>
      <c r="T251" s="457"/>
      <c r="U251" s="457"/>
      <c r="V251" s="457"/>
      <c r="W251" s="457"/>
      <c r="X251" s="457"/>
      <c r="Y251" s="457"/>
      <c r="Z251" s="457"/>
      <c r="AA251" s="457"/>
      <c r="AB251" s="457"/>
    </row>
    <row r="252" spans="1:28" ht="15.75">
      <c r="A252" s="458"/>
      <c r="B252" s="458"/>
      <c r="C252" s="458"/>
      <c r="D252" s="457"/>
      <c r="E252" s="457"/>
      <c r="F252" s="457"/>
      <c r="G252" s="457"/>
      <c r="H252" s="457"/>
      <c r="I252" s="457"/>
      <c r="J252" s="457"/>
      <c r="K252" s="457"/>
      <c r="L252" s="457"/>
      <c r="M252" s="457"/>
      <c r="N252" s="457"/>
      <c r="O252" s="457"/>
      <c r="P252" s="457"/>
      <c r="Q252" s="457"/>
      <c r="R252" s="457"/>
      <c r="S252" s="457"/>
      <c r="T252" s="457"/>
      <c r="U252" s="457"/>
      <c r="V252" s="457"/>
      <c r="W252" s="457"/>
      <c r="X252" s="457"/>
      <c r="Y252" s="457"/>
      <c r="Z252" s="457"/>
      <c r="AA252" s="457"/>
      <c r="AB252" s="457"/>
    </row>
    <row r="253" spans="1:28" ht="15.75">
      <c r="A253" s="458"/>
      <c r="B253" s="458"/>
      <c r="C253" s="458"/>
      <c r="D253" s="457"/>
      <c r="E253" s="457"/>
      <c r="F253" s="457"/>
      <c r="G253" s="457"/>
      <c r="H253" s="457"/>
      <c r="I253" s="457"/>
      <c r="J253" s="457"/>
      <c r="K253" s="457"/>
      <c r="L253" s="457"/>
      <c r="M253" s="457"/>
      <c r="N253" s="457"/>
      <c r="O253" s="457"/>
      <c r="P253" s="457"/>
      <c r="Q253" s="457"/>
      <c r="R253" s="457"/>
      <c r="S253" s="457"/>
      <c r="T253" s="457"/>
      <c r="U253" s="457"/>
      <c r="V253" s="457"/>
      <c r="W253" s="457"/>
      <c r="X253" s="457"/>
      <c r="Y253" s="457"/>
      <c r="Z253" s="457"/>
      <c r="AA253" s="457"/>
      <c r="AB253" s="457"/>
    </row>
    <row r="254" spans="1:28" ht="15.75">
      <c r="A254" s="458"/>
      <c r="B254" s="458"/>
      <c r="C254" s="458"/>
      <c r="D254" s="457"/>
      <c r="E254" s="457"/>
      <c r="F254" s="457"/>
      <c r="G254" s="457"/>
      <c r="H254" s="457"/>
      <c r="I254" s="457"/>
      <c r="J254" s="457"/>
      <c r="K254" s="457"/>
      <c r="L254" s="457"/>
      <c r="M254" s="457"/>
      <c r="N254" s="457"/>
      <c r="O254" s="457"/>
      <c r="P254" s="457"/>
      <c r="Q254" s="457"/>
      <c r="R254" s="457"/>
      <c r="S254" s="457"/>
      <c r="T254" s="457"/>
      <c r="U254" s="457"/>
      <c r="V254" s="457"/>
      <c r="W254" s="457"/>
      <c r="X254" s="457"/>
      <c r="Y254" s="457"/>
      <c r="Z254" s="457"/>
      <c r="AA254" s="457"/>
      <c r="AB254" s="457"/>
    </row>
    <row r="255" spans="1:28" ht="15.75">
      <c r="A255" s="458"/>
      <c r="B255" s="458"/>
      <c r="C255" s="458"/>
      <c r="D255" s="457"/>
      <c r="E255" s="457"/>
      <c r="F255" s="457"/>
      <c r="G255" s="457"/>
      <c r="H255" s="457"/>
      <c r="I255" s="457"/>
      <c r="J255" s="457"/>
      <c r="K255" s="457"/>
      <c r="L255" s="457"/>
      <c r="M255" s="457"/>
      <c r="N255" s="457"/>
      <c r="O255" s="457"/>
      <c r="P255" s="457"/>
      <c r="Q255" s="457"/>
      <c r="R255" s="457"/>
      <c r="S255" s="457"/>
      <c r="T255" s="457"/>
      <c r="U255" s="457"/>
      <c r="V255" s="457"/>
      <c r="W255" s="457"/>
      <c r="X255" s="457"/>
      <c r="Y255" s="457"/>
      <c r="Z255" s="457"/>
      <c r="AA255" s="457"/>
      <c r="AB255" s="457"/>
    </row>
    <row r="256" spans="1:28" ht="15.75">
      <c r="A256" s="458"/>
      <c r="B256" s="458"/>
      <c r="C256" s="458"/>
      <c r="D256" s="457"/>
      <c r="E256" s="457"/>
      <c r="F256" s="457"/>
      <c r="G256" s="457"/>
      <c r="H256" s="457"/>
      <c r="I256" s="457"/>
      <c r="J256" s="457"/>
      <c r="K256" s="457"/>
      <c r="L256" s="457"/>
      <c r="M256" s="457"/>
      <c r="N256" s="457"/>
      <c r="O256" s="457"/>
      <c r="P256" s="457"/>
      <c r="Q256" s="457"/>
      <c r="R256" s="457"/>
      <c r="S256" s="457"/>
      <c r="T256" s="457"/>
      <c r="U256" s="457"/>
      <c r="V256" s="457"/>
      <c r="W256" s="457"/>
      <c r="X256" s="457"/>
      <c r="Y256" s="457"/>
      <c r="Z256" s="457"/>
      <c r="AA256" s="457"/>
      <c r="AB256" s="457"/>
    </row>
    <row r="257" spans="1:28" ht="15.75">
      <c r="A257" s="458"/>
      <c r="B257" s="458"/>
      <c r="C257" s="458"/>
      <c r="D257" s="457"/>
      <c r="E257" s="457"/>
      <c r="F257" s="457"/>
      <c r="G257" s="457"/>
      <c r="H257" s="457"/>
      <c r="I257" s="457"/>
      <c r="J257" s="457"/>
      <c r="K257" s="457"/>
      <c r="L257" s="457"/>
      <c r="M257" s="457"/>
      <c r="N257" s="457"/>
      <c r="O257" s="457"/>
      <c r="P257" s="457"/>
      <c r="Q257" s="457"/>
      <c r="R257" s="457"/>
      <c r="S257" s="457"/>
      <c r="T257" s="457"/>
      <c r="U257" s="457"/>
      <c r="V257" s="457"/>
      <c r="W257" s="457"/>
      <c r="X257" s="457"/>
      <c r="Y257" s="457"/>
      <c r="Z257" s="457"/>
      <c r="AA257" s="457"/>
      <c r="AB257" s="457"/>
    </row>
    <row r="258" spans="1:28" ht="15.75">
      <c r="A258" s="458"/>
      <c r="B258" s="458"/>
      <c r="C258" s="458"/>
      <c r="D258" s="457"/>
      <c r="E258" s="457"/>
      <c r="F258" s="457"/>
      <c r="G258" s="457"/>
      <c r="H258" s="457"/>
      <c r="I258" s="457"/>
      <c r="J258" s="457"/>
      <c r="K258" s="457"/>
      <c r="L258" s="457"/>
      <c r="M258" s="457"/>
      <c r="N258" s="457"/>
      <c r="O258" s="457"/>
      <c r="P258" s="457"/>
      <c r="Q258" s="457"/>
      <c r="R258" s="457"/>
      <c r="S258" s="457"/>
      <c r="T258" s="457"/>
      <c r="U258" s="457"/>
      <c r="V258" s="457"/>
      <c r="W258" s="457"/>
      <c r="X258" s="457"/>
      <c r="Y258" s="457"/>
      <c r="Z258" s="457"/>
      <c r="AA258" s="457"/>
      <c r="AB258" s="457"/>
    </row>
    <row r="259" spans="1:28" ht="15.75">
      <c r="A259" s="458"/>
      <c r="B259" s="458"/>
      <c r="C259" s="458"/>
      <c r="D259" s="457"/>
      <c r="E259" s="457"/>
      <c r="F259" s="457"/>
      <c r="G259" s="457"/>
      <c r="H259" s="457"/>
      <c r="I259" s="457"/>
      <c r="J259" s="457"/>
      <c r="K259" s="457"/>
      <c r="L259" s="457"/>
      <c r="M259" s="457"/>
      <c r="N259" s="457"/>
      <c r="O259" s="457"/>
      <c r="P259" s="457"/>
      <c r="Q259" s="457"/>
      <c r="R259" s="457"/>
      <c r="S259" s="457"/>
      <c r="T259" s="457"/>
      <c r="U259" s="457"/>
      <c r="V259" s="457"/>
      <c r="W259" s="457"/>
      <c r="X259" s="457"/>
      <c r="Y259" s="457"/>
      <c r="Z259" s="457"/>
      <c r="AA259" s="457"/>
      <c r="AB259" s="457"/>
    </row>
    <row r="260" spans="1:28" ht="15.75">
      <c r="A260" s="458"/>
      <c r="B260" s="458"/>
      <c r="C260" s="458"/>
      <c r="D260" s="457"/>
      <c r="E260" s="457"/>
      <c r="F260" s="457"/>
      <c r="G260" s="457"/>
      <c r="H260" s="457"/>
      <c r="I260" s="457"/>
      <c r="J260" s="457"/>
      <c r="K260" s="457"/>
      <c r="L260" s="457"/>
      <c r="M260" s="457"/>
      <c r="N260" s="457"/>
      <c r="O260" s="457"/>
      <c r="P260" s="457"/>
      <c r="Q260" s="457"/>
      <c r="R260" s="457"/>
      <c r="S260" s="457"/>
      <c r="T260" s="457"/>
      <c r="U260" s="457"/>
      <c r="V260" s="457"/>
      <c r="W260" s="457"/>
      <c r="X260" s="457"/>
      <c r="Y260" s="457"/>
      <c r="Z260" s="457"/>
      <c r="AA260" s="457"/>
      <c r="AB260" s="457"/>
    </row>
    <row r="261" spans="1:28" ht="15.75">
      <c r="A261" s="458"/>
      <c r="B261" s="458"/>
      <c r="C261" s="458"/>
      <c r="D261" s="457"/>
      <c r="E261" s="457"/>
      <c r="F261" s="457"/>
      <c r="G261" s="457"/>
      <c r="H261" s="457"/>
      <c r="I261" s="457"/>
      <c r="J261" s="457"/>
      <c r="K261" s="457"/>
      <c r="L261" s="457"/>
      <c r="M261" s="457"/>
      <c r="N261" s="457"/>
      <c r="O261" s="457"/>
      <c r="P261" s="457"/>
      <c r="Q261" s="457"/>
      <c r="R261" s="457"/>
      <c r="S261" s="457"/>
      <c r="T261" s="457"/>
      <c r="U261" s="457"/>
      <c r="V261" s="457"/>
      <c r="W261" s="457"/>
      <c r="X261" s="457"/>
      <c r="Y261" s="457"/>
      <c r="Z261" s="457"/>
      <c r="AA261" s="457"/>
      <c r="AB261" s="457"/>
    </row>
    <row r="262" spans="1:28" ht="15.75">
      <c r="A262" s="458"/>
      <c r="B262" s="458"/>
      <c r="C262" s="458"/>
      <c r="D262" s="457"/>
      <c r="E262" s="457"/>
      <c r="F262" s="457"/>
      <c r="G262" s="457"/>
      <c r="H262" s="457"/>
      <c r="I262" s="457"/>
      <c r="J262" s="457"/>
      <c r="K262" s="457"/>
      <c r="L262" s="457"/>
      <c r="M262" s="457"/>
      <c r="N262" s="457"/>
      <c r="O262" s="457"/>
      <c r="P262" s="457"/>
      <c r="Q262" s="457"/>
      <c r="R262" s="457"/>
      <c r="S262" s="457"/>
      <c r="T262" s="457"/>
      <c r="U262" s="457"/>
      <c r="V262" s="457"/>
      <c r="W262" s="457"/>
      <c r="X262" s="457"/>
      <c r="Y262" s="457"/>
      <c r="Z262" s="457"/>
      <c r="AA262" s="457"/>
      <c r="AB262" s="457"/>
    </row>
    <row r="263" spans="1:28" ht="15.75">
      <c r="A263" s="458"/>
      <c r="B263" s="458"/>
      <c r="C263" s="458"/>
      <c r="D263" s="457"/>
      <c r="E263" s="457"/>
      <c r="F263" s="457"/>
      <c r="G263" s="457"/>
      <c r="H263" s="457"/>
      <c r="I263" s="457"/>
      <c r="J263" s="457"/>
      <c r="K263" s="457"/>
      <c r="L263" s="457"/>
      <c r="M263" s="457"/>
      <c r="N263" s="457"/>
      <c r="O263" s="457"/>
      <c r="P263" s="457"/>
      <c r="Q263" s="457"/>
      <c r="R263" s="457"/>
      <c r="S263" s="457"/>
      <c r="T263" s="457"/>
      <c r="U263" s="457"/>
      <c r="V263" s="457"/>
      <c r="W263" s="457"/>
      <c r="X263" s="457"/>
      <c r="Y263" s="457"/>
      <c r="Z263" s="457"/>
      <c r="AA263" s="457"/>
      <c r="AB263" s="457"/>
    </row>
    <row r="264" spans="1:28" ht="15.75">
      <c r="A264" s="458"/>
      <c r="B264" s="458"/>
      <c r="C264" s="458"/>
      <c r="D264" s="457"/>
      <c r="E264" s="457"/>
      <c r="F264" s="457"/>
      <c r="G264" s="457"/>
      <c r="H264" s="457"/>
      <c r="I264" s="457"/>
      <c r="J264" s="457"/>
      <c r="K264" s="457"/>
      <c r="L264" s="457"/>
      <c r="M264" s="457"/>
      <c r="N264" s="457"/>
      <c r="O264" s="457"/>
      <c r="P264" s="457"/>
      <c r="Q264" s="457"/>
      <c r="R264" s="457"/>
      <c r="S264" s="457"/>
      <c r="T264" s="457"/>
      <c r="U264" s="457"/>
      <c r="V264" s="457"/>
      <c r="W264" s="457"/>
      <c r="X264" s="457"/>
      <c r="Y264" s="457"/>
      <c r="Z264" s="457"/>
      <c r="AA264" s="457"/>
      <c r="AB264" s="457"/>
    </row>
    <row r="265" spans="1:28" ht="15.75">
      <c r="A265" s="458"/>
      <c r="B265" s="458"/>
      <c r="C265" s="458"/>
      <c r="D265" s="457"/>
      <c r="E265" s="457"/>
      <c r="F265" s="457"/>
      <c r="G265" s="457"/>
      <c r="H265" s="457"/>
      <c r="I265" s="457"/>
      <c r="J265" s="457"/>
      <c r="K265" s="457"/>
      <c r="L265" s="457"/>
      <c r="M265" s="457"/>
      <c r="N265" s="457"/>
      <c r="O265" s="457"/>
      <c r="P265" s="457"/>
      <c r="Q265" s="457"/>
      <c r="R265" s="457"/>
      <c r="S265" s="457"/>
      <c r="T265" s="457"/>
      <c r="U265" s="457"/>
      <c r="V265" s="457"/>
      <c r="W265" s="457"/>
      <c r="X265" s="457"/>
      <c r="Y265" s="457"/>
      <c r="Z265" s="457"/>
      <c r="AA265" s="457"/>
      <c r="AB265" s="457"/>
    </row>
    <row r="266" spans="1:28" ht="15.75">
      <c r="A266" s="458"/>
      <c r="B266" s="458"/>
      <c r="C266" s="458"/>
      <c r="D266" s="457"/>
      <c r="E266" s="457"/>
      <c r="F266" s="457"/>
      <c r="G266" s="457"/>
      <c r="H266" s="457"/>
      <c r="I266" s="457"/>
      <c r="J266" s="457"/>
      <c r="K266" s="457"/>
      <c r="L266" s="457"/>
      <c r="M266" s="457"/>
      <c r="N266" s="457"/>
      <c r="O266" s="457"/>
      <c r="P266" s="457"/>
      <c r="Q266" s="457"/>
      <c r="R266" s="457"/>
      <c r="S266" s="457"/>
      <c r="T266" s="457"/>
      <c r="U266" s="457"/>
      <c r="V266" s="457"/>
      <c r="W266" s="457"/>
      <c r="X266" s="457"/>
      <c r="Y266" s="457"/>
      <c r="Z266" s="457"/>
      <c r="AA266" s="457"/>
      <c r="AB266" s="457"/>
    </row>
    <row r="267" spans="1:28" ht="15.75">
      <c r="A267" s="458"/>
      <c r="B267" s="458"/>
      <c r="C267" s="458"/>
      <c r="D267" s="457"/>
      <c r="E267" s="457"/>
      <c r="F267" s="457"/>
      <c r="G267" s="457"/>
      <c r="H267" s="457"/>
      <c r="I267" s="457"/>
      <c r="J267" s="457"/>
      <c r="K267" s="457"/>
      <c r="L267" s="457"/>
      <c r="M267" s="457"/>
      <c r="N267" s="457"/>
      <c r="O267" s="457"/>
      <c r="P267" s="457"/>
      <c r="Q267" s="457"/>
      <c r="R267" s="457"/>
      <c r="S267" s="457"/>
      <c r="T267" s="457"/>
      <c r="U267" s="457"/>
      <c r="V267" s="457"/>
      <c r="W267" s="457"/>
      <c r="X267" s="457"/>
      <c r="Y267" s="457"/>
      <c r="Z267" s="457"/>
      <c r="AA267" s="457"/>
      <c r="AB267" s="457"/>
    </row>
    <row r="268" spans="1:28" ht="15.75">
      <c r="A268" s="458"/>
      <c r="B268" s="458"/>
      <c r="C268" s="458"/>
      <c r="D268" s="457"/>
      <c r="E268" s="457"/>
      <c r="F268" s="457"/>
      <c r="G268" s="457"/>
      <c r="H268" s="457"/>
      <c r="I268" s="457"/>
      <c r="J268" s="457"/>
      <c r="K268" s="457"/>
      <c r="L268" s="457"/>
      <c r="M268" s="457"/>
      <c r="N268" s="457"/>
      <c r="O268" s="457"/>
      <c r="P268" s="457"/>
      <c r="Q268" s="457"/>
      <c r="R268" s="457"/>
      <c r="S268" s="457"/>
      <c r="T268" s="457"/>
      <c r="U268" s="457"/>
      <c r="V268" s="457"/>
      <c r="W268" s="457"/>
      <c r="X268" s="457"/>
      <c r="Y268" s="457"/>
      <c r="Z268" s="457"/>
      <c r="AA268" s="457"/>
      <c r="AB268" s="457"/>
    </row>
    <row r="269" spans="1:28" ht="15.75">
      <c r="A269" s="458"/>
      <c r="B269" s="458"/>
      <c r="C269" s="458"/>
      <c r="D269" s="457"/>
      <c r="E269" s="457"/>
      <c r="F269" s="457"/>
      <c r="G269" s="457"/>
      <c r="H269" s="457"/>
      <c r="I269" s="457"/>
      <c r="J269" s="457"/>
      <c r="K269" s="457"/>
      <c r="L269" s="457"/>
      <c r="M269" s="457"/>
      <c r="N269" s="457"/>
      <c r="O269" s="457"/>
      <c r="P269" s="457"/>
      <c r="Q269" s="457"/>
      <c r="R269" s="457"/>
      <c r="S269" s="457"/>
      <c r="T269" s="457"/>
      <c r="U269" s="457"/>
      <c r="V269" s="457"/>
      <c r="W269" s="457"/>
      <c r="X269" s="457"/>
      <c r="Y269" s="457"/>
      <c r="Z269" s="457"/>
      <c r="AA269" s="457"/>
      <c r="AB269" s="457"/>
    </row>
    <row r="270" spans="1:28" ht="15.75">
      <c r="A270" s="458"/>
      <c r="B270" s="458"/>
      <c r="C270" s="458"/>
      <c r="D270" s="457"/>
      <c r="E270" s="457"/>
      <c r="F270" s="457"/>
      <c r="G270" s="457"/>
      <c r="H270" s="457"/>
      <c r="I270" s="457"/>
      <c r="J270" s="457"/>
      <c r="K270" s="457"/>
      <c r="L270" s="457"/>
      <c r="M270" s="457"/>
      <c r="N270" s="457"/>
      <c r="O270" s="457"/>
      <c r="P270" s="457"/>
      <c r="Q270" s="457"/>
      <c r="R270" s="457"/>
      <c r="S270" s="457"/>
      <c r="T270" s="457"/>
      <c r="U270" s="457"/>
      <c r="V270" s="457"/>
      <c r="W270" s="457"/>
      <c r="X270" s="457"/>
      <c r="Y270" s="457"/>
      <c r="Z270" s="457"/>
      <c r="AA270" s="457"/>
      <c r="AB270" s="457"/>
    </row>
    <row r="271" spans="1:28" ht="15.75">
      <c r="A271" s="458"/>
      <c r="B271" s="458"/>
      <c r="C271" s="458"/>
      <c r="D271" s="457"/>
      <c r="E271" s="457"/>
      <c r="F271" s="457"/>
      <c r="G271" s="457"/>
      <c r="H271" s="457"/>
      <c r="I271" s="457"/>
      <c r="J271" s="457"/>
      <c r="K271" s="457"/>
      <c r="L271" s="457"/>
      <c r="M271" s="457"/>
      <c r="N271" s="457"/>
      <c r="O271" s="457"/>
      <c r="P271" s="457"/>
      <c r="Q271" s="457"/>
      <c r="R271" s="457"/>
      <c r="S271" s="457"/>
      <c r="T271" s="457"/>
      <c r="U271" s="457"/>
      <c r="V271" s="457"/>
      <c r="W271" s="457"/>
      <c r="X271" s="457"/>
      <c r="Y271" s="457"/>
      <c r="Z271" s="457"/>
      <c r="AA271" s="457"/>
      <c r="AB271" s="457"/>
    </row>
    <row r="272" spans="1:28" ht="15.75">
      <c r="A272" s="458"/>
      <c r="B272" s="458"/>
      <c r="C272" s="458"/>
      <c r="D272" s="457"/>
      <c r="E272" s="457"/>
      <c r="F272" s="457"/>
      <c r="G272" s="457"/>
      <c r="H272" s="457"/>
      <c r="I272" s="457"/>
      <c r="J272" s="457"/>
      <c r="K272" s="457"/>
      <c r="L272" s="457"/>
      <c r="M272" s="457"/>
      <c r="N272" s="457"/>
      <c r="O272" s="457"/>
      <c r="P272" s="457"/>
      <c r="Q272" s="457"/>
      <c r="R272" s="457"/>
      <c r="S272" s="457"/>
      <c r="T272" s="457"/>
      <c r="U272" s="457"/>
      <c r="V272" s="457"/>
      <c r="W272" s="457"/>
      <c r="X272" s="457"/>
      <c r="Y272" s="457"/>
      <c r="Z272" s="457"/>
      <c r="AA272" s="457"/>
      <c r="AB272" s="457"/>
    </row>
    <row r="273" spans="1:28" ht="15.75">
      <c r="A273" s="458"/>
      <c r="B273" s="458"/>
      <c r="C273" s="458"/>
      <c r="D273" s="457"/>
      <c r="E273" s="457"/>
      <c r="F273" s="457"/>
      <c r="G273" s="457"/>
      <c r="H273" s="457"/>
      <c r="I273" s="457"/>
      <c r="J273" s="457"/>
      <c r="K273" s="457"/>
      <c r="L273" s="457"/>
      <c r="M273" s="457"/>
      <c r="N273" s="457"/>
      <c r="O273" s="457"/>
      <c r="P273" s="457"/>
      <c r="Q273" s="457"/>
      <c r="R273" s="457"/>
      <c r="S273" s="457"/>
      <c r="T273" s="457"/>
      <c r="U273" s="457"/>
      <c r="V273" s="457"/>
      <c r="W273" s="457"/>
      <c r="X273" s="457"/>
      <c r="Y273" s="457"/>
      <c r="Z273" s="457"/>
      <c r="AA273" s="457"/>
      <c r="AB273" s="457"/>
    </row>
    <row r="274" spans="1:28" ht="15.75">
      <c r="A274" s="458"/>
      <c r="B274" s="458"/>
      <c r="C274" s="458"/>
      <c r="D274" s="457"/>
      <c r="E274" s="457"/>
      <c r="F274" s="457"/>
      <c r="G274" s="457"/>
      <c r="H274" s="457"/>
      <c r="I274" s="457"/>
      <c r="J274" s="457"/>
      <c r="K274" s="457"/>
      <c r="L274" s="457"/>
      <c r="M274" s="457"/>
      <c r="N274" s="457"/>
      <c r="O274" s="457"/>
      <c r="P274" s="457"/>
      <c r="Q274" s="457"/>
      <c r="R274" s="457"/>
      <c r="S274" s="457"/>
      <c r="T274" s="457"/>
      <c r="U274" s="457"/>
      <c r="V274" s="457"/>
      <c r="W274" s="457"/>
      <c r="X274" s="457"/>
      <c r="Y274" s="457"/>
      <c r="Z274" s="457"/>
      <c r="AA274" s="457"/>
      <c r="AB274" s="457"/>
    </row>
    <row r="275" spans="1:28" ht="15.75">
      <c r="A275" s="458"/>
      <c r="B275" s="458"/>
      <c r="C275" s="458"/>
      <c r="D275" s="457"/>
      <c r="E275" s="457"/>
      <c r="F275" s="457"/>
      <c r="G275" s="457"/>
      <c r="H275" s="457"/>
      <c r="I275" s="457"/>
      <c r="J275" s="457"/>
      <c r="K275" s="457"/>
      <c r="L275" s="457"/>
      <c r="M275" s="457"/>
      <c r="N275" s="457"/>
      <c r="O275" s="457"/>
      <c r="P275" s="457"/>
      <c r="Q275" s="457"/>
      <c r="R275" s="457"/>
      <c r="S275" s="457"/>
      <c r="T275" s="457"/>
      <c r="U275" s="457"/>
      <c r="V275" s="457"/>
      <c r="W275" s="457"/>
      <c r="X275" s="457"/>
      <c r="Y275" s="457"/>
      <c r="Z275" s="457"/>
      <c r="AA275" s="457"/>
      <c r="AB275" s="457"/>
    </row>
    <row r="276" spans="1:28" ht="15.75">
      <c r="A276" s="458"/>
      <c r="B276" s="458"/>
      <c r="C276" s="458"/>
      <c r="D276" s="457"/>
      <c r="E276" s="457"/>
      <c r="F276" s="457"/>
      <c r="G276" s="457"/>
      <c r="H276" s="457"/>
      <c r="I276" s="457"/>
      <c r="J276" s="457"/>
      <c r="K276" s="457"/>
      <c r="L276" s="457"/>
      <c r="M276" s="457"/>
      <c r="N276" s="457"/>
      <c r="O276" s="457"/>
      <c r="P276" s="457"/>
      <c r="Q276" s="457"/>
      <c r="R276" s="457"/>
      <c r="S276" s="457"/>
      <c r="T276" s="457"/>
      <c r="U276" s="457"/>
      <c r="V276" s="457"/>
      <c r="W276" s="457"/>
      <c r="X276" s="457"/>
      <c r="Y276" s="457"/>
      <c r="Z276" s="457"/>
      <c r="AA276" s="457"/>
      <c r="AB276" s="457"/>
    </row>
    <row r="277" spans="1:28" ht="15.75">
      <c r="A277" s="458"/>
      <c r="B277" s="458"/>
      <c r="C277" s="458"/>
      <c r="D277" s="457"/>
      <c r="E277" s="457"/>
      <c r="F277" s="457"/>
      <c r="G277" s="457"/>
      <c r="H277" s="457"/>
      <c r="I277" s="457"/>
      <c r="J277" s="457"/>
      <c r="K277" s="457"/>
      <c r="L277" s="457"/>
      <c r="M277" s="457"/>
      <c r="N277" s="457"/>
      <c r="O277" s="457"/>
      <c r="P277" s="457"/>
      <c r="Q277" s="457"/>
      <c r="R277" s="457"/>
      <c r="S277" s="457"/>
      <c r="T277" s="457"/>
      <c r="U277" s="457"/>
      <c r="V277" s="457"/>
      <c r="W277" s="457"/>
      <c r="X277" s="457"/>
      <c r="Y277" s="457"/>
      <c r="Z277" s="457"/>
      <c r="AA277" s="457"/>
      <c r="AB277" s="457"/>
    </row>
    <row r="278" spans="1:28" ht="15.75">
      <c r="A278" s="458"/>
      <c r="B278" s="458"/>
      <c r="C278" s="458"/>
      <c r="D278" s="457"/>
      <c r="E278" s="457"/>
      <c r="F278" s="457"/>
      <c r="G278" s="457"/>
      <c r="H278" s="457"/>
      <c r="I278" s="457"/>
      <c r="J278" s="457"/>
      <c r="K278" s="457"/>
      <c r="L278" s="457"/>
      <c r="M278" s="457"/>
      <c r="N278" s="457"/>
      <c r="O278" s="457"/>
      <c r="P278" s="457"/>
      <c r="Q278" s="457"/>
      <c r="R278" s="457"/>
      <c r="S278" s="457"/>
      <c r="T278" s="457"/>
      <c r="U278" s="457"/>
      <c r="V278" s="457"/>
      <c r="W278" s="457"/>
      <c r="X278" s="457"/>
      <c r="Y278" s="457"/>
      <c r="Z278" s="457"/>
      <c r="AA278" s="457"/>
      <c r="AB278" s="457"/>
    </row>
    <row r="279" spans="1:28" ht="15.75">
      <c r="A279" s="458"/>
      <c r="B279" s="458"/>
      <c r="C279" s="458"/>
      <c r="D279" s="457"/>
      <c r="E279" s="457"/>
      <c r="F279" s="457"/>
      <c r="G279" s="457"/>
      <c r="H279" s="457"/>
      <c r="I279" s="457"/>
      <c r="J279" s="457"/>
      <c r="K279" s="457"/>
      <c r="L279" s="457"/>
      <c r="M279" s="457"/>
      <c r="N279" s="457"/>
      <c r="O279" s="457"/>
      <c r="P279" s="457"/>
      <c r="Q279" s="457"/>
      <c r="R279" s="457"/>
      <c r="S279" s="457"/>
      <c r="T279" s="457"/>
      <c r="U279" s="457"/>
      <c r="V279" s="457"/>
      <c r="W279" s="457"/>
      <c r="X279" s="457"/>
      <c r="Y279" s="457"/>
      <c r="Z279" s="457"/>
      <c r="AA279" s="457"/>
      <c r="AB279" s="457"/>
    </row>
    <row r="280" spans="1:28" ht="15.75">
      <c r="A280" s="458"/>
      <c r="B280" s="458"/>
      <c r="C280" s="458"/>
      <c r="D280" s="457"/>
      <c r="E280" s="457"/>
      <c r="F280" s="457"/>
      <c r="G280" s="457"/>
      <c r="H280" s="457"/>
      <c r="I280" s="457"/>
      <c r="J280" s="457"/>
      <c r="K280" s="457"/>
      <c r="L280" s="457"/>
      <c r="M280" s="457"/>
      <c r="N280" s="457"/>
      <c r="O280" s="457"/>
      <c r="P280" s="457"/>
      <c r="Q280" s="457"/>
      <c r="R280" s="457"/>
      <c r="S280" s="457"/>
      <c r="T280" s="457"/>
      <c r="U280" s="457"/>
      <c r="V280" s="457"/>
      <c r="W280" s="457"/>
      <c r="X280" s="457"/>
      <c r="Y280" s="457"/>
      <c r="Z280" s="457"/>
      <c r="AA280" s="457"/>
      <c r="AB280" s="457"/>
    </row>
    <row r="281" spans="1:28" ht="15.75">
      <c r="A281" s="458"/>
      <c r="B281" s="458"/>
      <c r="C281" s="458"/>
      <c r="D281" s="457"/>
      <c r="E281" s="457"/>
      <c r="F281" s="457"/>
      <c r="G281" s="457"/>
      <c r="H281" s="457"/>
      <c r="I281" s="457"/>
      <c r="J281" s="457"/>
      <c r="K281" s="457"/>
      <c r="L281" s="457"/>
      <c r="M281" s="457"/>
      <c r="N281" s="457"/>
      <c r="O281" s="457"/>
      <c r="P281" s="457"/>
      <c r="Q281" s="457"/>
      <c r="R281" s="457"/>
      <c r="S281" s="457"/>
      <c r="T281" s="457"/>
      <c r="U281" s="457"/>
      <c r="V281" s="457"/>
      <c r="W281" s="457"/>
      <c r="X281" s="457"/>
      <c r="Y281" s="457"/>
      <c r="Z281" s="457"/>
      <c r="AA281" s="457"/>
      <c r="AB281" s="457"/>
    </row>
    <row r="282" spans="1:28" ht="15.75">
      <c r="A282" s="458"/>
      <c r="B282" s="458"/>
      <c r="C282" s="458"/>
      <c r="D282" s="457"/>
      <c r="E282" s="457"/>
      <c r="F282" s="457"/>
      <c r="G282" s="457"/>
      <c r="H282" s="457"/>
      <c r="I282" s="457"/>
      <c r="J282" s="457"/>
      <c r="K282" s="457"/>
      <c r="L282" s="457"/>
      <c r="M282" s="457"/>
      <c r="N282" s="457"/>
      <c r="O282" s="457"/>
      <c r="P282" s="457"/>
      <c r="Q282" s="457"/>
      <c r="R282" s="457"/>
      <c r="S282" s="457"/>
      <c r="T282" s="457"/>
      <c r="U282" s="457"/>
      <c r="V282" s="457"/>
      <c r="W282" s="457"/>
      <c r="X282" s="457"/>
      <c r="Y282" s="457"/>
      <c r="Z282" s="457"/>
      <c r="AA282" s="457"/>
      <c r="AB282" s="457"/>
    </row>
    <row r="283" spans="1:28" ht="15.75">
      <c r="A283" s="458"/>
      <c r="B283" s="458"/>
      <c r="C283" s="458"/>
      <c r="D283" s="457"/>
      <c r="E283" s="457"/>
      <c r="F283" s="457"/>
      <c r="G283" s="457"/>
      <c r="H283" s="457"/>
      <c r="I283" s="457"/>
      <c r="J283" s="457"/>
      <c r="K283" s="457"/>
      <c r="L283" s="457"/>
      <c r="M283" s="457"/>
      <c r="N283" s="457"/>
      <c r="O283" s="457"/>
      <c r="P283" s="457"/>
      <c r="Q283" s="457"/>
      <c r="R283" s="457"/>
      <c r="S283" s="457"/>
      <c r="T283" s="457"/>
      <c r="U283" s="457"/>
      <c r="V283" s="457"/>
      <c r="W283" s="457"/>
      <c r="X283" s="457"/>
      <c r="Y283" s="457"/>
      <c r="Z283" s="457"/>
      <c r="AA283" s="457"/>
      <c r="AB283" s="457"/>
    </row>
    <row r="284" spans="1:28" ht="15.75">
      <c r="A284" s="458"/>
      <c r="B284" s="458"/>
      <c r="C284" s="458"/>
      <c r="D284" s="457"/>
      <c r="E284" s="457"/>
      <c r="F284" s="457"/>
      <c r="G284" s="457"/>
      <c r="H284" s="457"/>
      <c r="I284" s="457"/>
      <c r="J284" s="457"/>
      <c r="K284" s="457"/>
      <c r="L284" s="457"/>
      <c r="M284" s="457"/>
      <c r="N284" s="457"/>
      <c r="O284" s="457"/>
      <c r="P284" s="457"/>
      <c r="Q284" s="457"/>
      <c r="R284" s="457"/>
      <c r="S284" s="457"/>
      <c r="T284" s="457"/>
      <c r="U284" s="457"/>
      <c r="V284" s="457"/>
      <c r="W284" s="457"/>
      <c r="X284" s="457"/>
      <c r="Y284" s="457"/>
      <c r="Z284" s="457"/>
      <c r="AA284" s="457"/>
      <c r="AB284" s="457"/>
    </row>
    <row r="285" spans="1:28" ht="15.75">
      <c r="A285" s="458"/>
      <c r="B285" s="458"/>
      <c r="C285" s="458"/>
      <c r="D285" s="457"/>
      <c r="E285" s="457"/>
      <c r="F285" s="457"/>
      <c r="G285" s="457"/>
      <c r="H285" s="457"/>
      <c r="I285" s="457"/>
      <c r="J285" s="457"/>
      <c r="K285" s="457"/>
      <c r="L285" s="457"/>
      <c r="M285" s="457"/>
      <c r="N285" s="457"/>
      <c r="O285" s="457"/>
      <c r="P285" s="457"/>
      <c r="Q285" s="457"/>
      <c r="R285" s="457"/>
      <c r="S285" s="457"/>
      <c r="T285" s="457"/>
      <c r="U285" s="457"/>
      <c r="V285" s="457"/>
      <c r="W285" s="457"/>
      <c r="X285" s="457"/>
      <c r="Y285" s="457"/>
      <c r="Z285" s="457"/>
      <c r="AA285" s="457"/>
      <c r="AB285" s="457"/>
    </row>
    <row r="286" spans="1:28" ht="15.75">
      <c r="A286" s="458"/>
      <c r="B286" s="458"/>
      <c r="C286" s="458"/>
      <c r="D286" s="457"/>
      <c r="E286" s="457"/>
      <c r="F286" s="457"/>
      <c r="G286" s="457"/>
      <c r="H286" s="457"/>
      <c r="I286" s="457"/>
      <c r="J286" s="457"/>
      <c r="K286" s="457"/>
      <c r="L286" s="457"/>
      <c r="M286" s="457"/>
      <c r="N286" s="457"/>
      <c r="O286" s="457"/>
      <c r="P286" s="457"/>
      <c r="Q286" s="457"/>
      <c r="R286" s="457"/>
      <c r="S286" s="457"/>
      <c r="T286" s="457"/>
      <c r="U286" s="457"/>
      <c r="V286" s="457"/>
      <c r="W286" s="457"/>
      <c r="X286" s="457"/>
      <c r="Y286" s="457"/>
      <c r="Z286" s="457"/>
      <c r="AA286" s="457"/>
      <c r="AB286" s="457"/>
    </row>
    <row r="287" spans="1:28" ht="15.75">
      <c r="A287" s="458"/>
      <c r="B287" s="458"/>
      <c r="C287" s="458"/>
      <c r="D287" s="457"/>
      <c r="E287" s="457"/>
      <c r="F287" s="457"/>
      <c r="G287" s="457"/>
      <c r="H287" s="457"/>
      <c r="I287" s="457"/>
      <c r="J287" s="457"/>
      <c r="K287" s="457"/>
      <c r="L287" s="457"/>
      <c r="M287" s="457"/>
      <c r="N287" s="457"/>
      <c r="O287" s="457"/>
      <c r="P287" s="457"/>
      <c r="Q287" s="457"/>
      <c r="R287" s="457"/>
      <c r="S287" s="457"/>
      <c r="T287" s="457"/>
      <c r="U287" s="457"/>
      <c r="V287" s="457"/>
      <c r="W287" s="457"/>
      <c r="X287" s="457"/>
      <c r="Y287" s="457"/>
      <c r="Z287" s="457"/>
      <c r="AA287" s="457"/>
      <c r="AB287" s="457"/>
    </row>
    <row r="288" spans="1:28" ht="15.75">
      <c r="A288" s="458"/>
      <c r="B288" s="458"/>
      <c r="C288" s="458"/>
      <c r="D288" s="457"/>
      <c r="E288" s="457"/>
      <c r="F288" s="457"/>
      <c r="G288" s="457"/>
      <c r="H288" s="457"/>
      <c r="I288" s="457"/>
      <c r="J288" s="457"/>
      <c r="K288" s="457"/>
      <c r="L288" s="457"/>
      <c r="M288" s="457"/>
      <c r="N288" s="457"/>
      <c r="O288" s="457"/>
      <c r="P288" s="457"/>
      <c r="Q288" s="457"/>
      <c r="R288" s="457"/>
      <c r="S288" s="457"/>
      <c r="T288" s="457"/>
      <c r="U288" s="457"/>
      <c r="V288" s="457"/>
      <c r="W288" s="457"/>
      <c r="X288" s="457"/>
      <c r="Y288" s="457"/>
      <c r="Z288" s="457"/>
      <c r="AA288" s="457"/>
      <c r="AB288" s="457"/>
    </row>
    <row r="289" spans="1:28" ht="15.75">
      <c r="A289" s="458"/>
      <c r="B289" s="458"/>
      <c r="C289" s="458"/>
      <c r="D289" s="457"/>
      <c r="E289" s="457"/>
      <c r="F289" s="457"/>
      <c r="G289" s="457"/>
      <c r="H289" s="457"/>
      <c r="I289" s="457"/>
      <c r="J289" s="457"/>
      <c r="K289" s="457"/>
      <c r="L289" s="457"/>
      <c r="M289" s="457"/>
      <c r="N289" s="457"/>
      <c r="O289" s="457"/>
      <c r="P289" s="457"/>
      <c r="Q289" s="457"/>
      <c r="R289" s="457"/>
      <c r="S289" s="457"/>
      <c r="T289" s="457"/>
      <c r="U289" s="457"/>
      <c r="V289" s="457"/>
      <c r="W289" s="457"/>
      <c r="X289" s="457"/>
      <c r="Y289" s="457"/>
      <c r="Z289" s="457"/>
      <c r="AA289" s="457"/>
      <c r="AB289" s="457"/>
    </row>
    <row r="290" spans="1:28" ht="15.75">
      <c r="A290" s="458"/>
      <c r="B290" s="458"/>
      <c r="C290" s="458"/>
      <c r="D290" s="457"/>
      <c r="E290" s="457"/>
      <c r="F290" s="457"/>
      <c r="G290" s="457"/>
      <c r="H290" s="457"/>
      <c r="I290" s="457"/>
      <c r="J290" s="457"/>
      <c r="K290" s="457"/>
      <c r="L290" s="457"/>
      <c r="M290" s="457"/>
      <c r="N290" s="457"/>
      <c r="O290" s="457"/>
      <c r="P290" s="457"/>
      <c r="Q290" s="457"/>
      <c r="R290" s="457"/>
      <c r="S290" s="457"/>
      <c r="T290" s="457"/>
      <c r="U290" s="457"/>
      <c r="V290" s="457"/>
      <c r="W290" s="457"/>
      <c r="X290" s="457"/>
      <c r="Y290" s="457"/>
      <c r="Z290" s="457"/>
      <c r="AA290" s="457"/>
      <c r="AB290" s="457"/>
    </row>
    <row r="291" spans="1:28" ht="15.75">
      <c r="A291" s="458"/>
      <c r="B291" s="458"/>
      <c r="C291" s="458"/>
      <c r="D291" s="457"/>
      <c r="E291" s="457"/>
      <c r="F291" s="457"/>
      <c r="G291" s="457"/>
      <c r="H291" s="457"/>
      <c r="I291" s="457"/>
      <c r="J291" s="457"/>
      <c r="K291" s="457"/>
      <c r="L291" s="457"/>
      <c r="M291" s="457"/>
      <c r="N291" s="457"/>
      <c r="O291" s="457"/>
      <c r="P291" s="457"/>
      <c r="Q291" s="457"/>
      <c r="R291" s="457"/>
      <c r="S291" s="457"/>
      <c r="T291" s="457"/>
      <c r="U291" s="457"/>
      <c r="V291" s="457"/>
      <c r="W291" s="457"/>
      <c r="X291" s="457"/>
      <c r="Y291" s="457"/>
      <c r="Z291" s="457"/>
      <c r="AA291" s="457"/>
      <c r="AB291" s="457"/>
    </row>
    <row r="292" spans="1:28" ht="15.75">
      <c r="A292" s="458"/>
      <c r="B292" s="458"/>
      <c r="C292" s="458"/>
      <c r="D292" s="457"/>
      <c r="E292" s="457"/>
      <c r="F292" s="457"/>
      <c r="G292" s="457"/>
      <c r="H292" s="457"/>
      <c r="I292" s="457"/>
      <c r="J292" s="457"/>
      <c r="K292" s="457"/>
      <c r="L292" s="457"/>
      <c r="M292" s="457"/>
      <c r="N292" s="457"/>
      <c r="O292" s="457"/>
      <c r="P292" s="457"/>
      <c r="Q292" s="457"/>
      <c r="R292" s="457"/>
      <c r="S292" s="457"/>
      <c r="T292" s="457"/>
      <c r="U292" s="457"/>
      <c r="V292" s="457"/>
      <c r="W292" s="457"/>
      <c r="X292" s="457"/>
      <c r="Y292" s="457"/>
      <c r="Z292" s="457"/>
      <c r="AA292" s="457"/>
      <c r="AB292" s="457"/>
    </row>
    <row r="293" spans="1:28" ht="15.75">
      <c r="A293" s="458"/>
      <c r="B293" s="458"/>
      <c r="C293" s="458"/>
      <c r="D293" s="457"/>
      <c r="E293" s="457"/>
      <c r="F293" s="457"/>
      <c r="G293" s="457"/>
      <c r="H293" s="457"/>
      <c r="I293" s="457"/>
      <c r="J293" s="457"/>
      <c r="K293" s="457"/>
      <c r="L293" s="457"/>
      <c r="M293" s="457"/>
      <c r="N293" s="457"/>
      <c r="O293" s="457"/>
      <c r="P293" s="457"/>
      <c r="Q293" s="457"/>
      <c r="R293" s="457"/>
      <c r="S293" s="457"/>
      <c r="T293" s="457"/>
      <c r="U293" s="457"/>
      <c r="V293" s="457"/>
      <c r="W293" s="457"/>
      <c r="X293" s="457"/>
      <c r="Y293" s="457"/>
      <c r="Z293" s="457"/>
      <c r="AA293" s="457"/>
      <c r="AB293" s="457"/>
    </row>
    <row r="294" spans="1:28" ht="15.75">
      <c r="A294" s="458"/>
      <c r="B294" s="458"/>
      <c r="C294" s="458"/>
      <c r="D294" s="457"/>
      <c r="E294" s="457"/>
      <c r="F294" s="457"/>
      <c r="G294" s="457"/>
      <c r="H294" s="457"/>
      <c r="I294" s="457"/>
      <c r="J294" s="457"/>
      <c r="K294" s="457"/>
      <c r="L294" s="457"/>
      <c r="M294" s="457"/>
      <c r="N294" s="457"/>
      <c r="O294" s="457"/>
      <c r="P294" s="457"/>
      <c r="Q294" s="457"/>
      <c r="R294" s="457"/>
      <c r="S294" s="457"/>
      <c r="T294" s="457"/>
      <c r="U294" s="457"/>
      <c r="V294" s="457"/>
      <c r="W294" s="457"/>
      <c r="X294" s="457"/>
      <c r="Y294" s="457"/>
      <c r="Z294" s="457"/>
      <c r="AA294" s="457"/>
      <c r="AB294" s="457"/>
    </row>
    <row r="295" spans="1:28" ht="15.75">
      <c r="A295" s="458"/>
      <c r="B295" s="458"/>
      <c r="C295" s="458"/>
      <c r="D295" s="457"/>
      <c r="E295" s="457"/>
      <c r="F295" s="457"/>
      <c r="G295" s="457"/>
      <c r="H295" s="457"/>
      <c r="I295" s="457"/>
      <c r="J295" s="457"/>
      <c r="K295" s="457"/>
      <c r="L295" s="457"/>
      <c r="M295" s="457"/>
      <c r="N295" s="457"/>
      <c r="O295" s="457"/>
      <c r="P295" s="457"/>
      <c r="Q295" s="457"/>
      <c r="R295" s="457"/>
      <c r="S295" s="457"/>
      <c r="T295" s="457"/>
      <c r="U295" s="457"/>
      <c r="V295" s="457"/>
      <c r="W295" s="457"/>
      <c r="X295" s="457"/>
      <c r="Y295" s="457"/>
      <c r="Z295" s="457"/>
      <c r="AA295" s="457"/>
      <c r="AB295" s="457"/>
    </row>
    <row r="296" spans="1:28" ht="15.75">
      <c r="A296" s="458"/>
      <c r="B296" s="458"/>
      <c r="C296" s="458"/>
      <c r="D296" s="457"/>
      <c r="E296" s="457"/>
      <c r="F296" s="457"/>
      <c r="G296" s="457"/>
      <c r="H296" s="457"/>
      <c r="I296" s="457"/>
      <c r="J296" s="457"/>
      <c r="K296" s="457"/>
      <c r="L296" s="457"/>
      <c r="M296" s="457"/>
      <c r="N296" s="457"/>
      <c r="O296" s="457"/>
      <c r="P296" s="457"/>
      <c r="Q296" s="457"/>
      <c r="R296" s="457"/>
      <c r="S296" s="457"/>
      <c r="T296" s="457"/>
      <c r="U296" s="457"/>
      <c r="V296" s="457"/>
      <c r="W296" s="457"/>
      <c r="X296" s="457"/>
      <c r="Y296" s="457"/>
      <c r="Z296" s="457"/>
      <c r="AA296" s="457"/>
      <c r="AB296" s="457"/>
    </row>
    <row r="297" spans="1:28" ht="15.75">
      <c r="A297" s="458"/>
      <c r="B297" s="458"/>
      <c r="C297" s="458"/>
      <c r="D297" s="457"/>
      <c r="E297" s="457"/>
      <c r="F297" s="457"/>
      <c r="G297" s="457"/>
      <c r="H297" s="457"/>
      <c r="I297" s="457"/>
      <c r="J297" s="457"/>
      <c r="K297" s="457"/>
      <c r="L297" s="457"/>
      <c r="M297" s="457"/>
      <c r="N297" s="457"/>
      <c r="O297" s="457"/>
      <c r="P297" s="457"/>
      <c r="Q297" s="457"/>
      <c r="R297" s="457"/>
      <c r="S297" s="457"/>
      <c r="T297" s="457"/>
      <c r="U297" s="457"/>
      <c r="V297" s="457"/>
      <c r="W297" s="457"/>
      <c r="X297" s="457"/>
      <c r="Y297" s="457"/>
      <c r="Z297" s="457"/>
      <c r="AA297" s="457"/>
      <c r="AB297" s="457"/>
    </row>
    <row r="298" spans="1:28" ht="15.75">
      <c r="A298" s="458"/>
      <c r="B298" s="458"/>
      <c r="C298" s="458"/>
      <c r="D298" s="457"/>
      <c r="E298" s="457"/>
      <c r="F298" s="457"/>
      <c r="G298" s="457"/>
      <c r="H298" s="457"/>
      <c r="I298" s="457"/>
      <c r="J298" s="457"/>
      <c r="K298" s="457"/>
      <c r="L298" s="457"/>
      <c r="M298" s="457"/>
      <c r="N298" s="457"/>
      <c r="O298" s="457"/>
      <c r="P298" s="457"/>
      <c r="Q298" s="457"/>
      <c r="R298" s="457"/>
      <c r="S298" s="457"/>
      <c r="T298" s="457"/>
      <c r="U298" s="457"/>
      <c r="V298" s="457"/>
      <c r="W298" s="457"/>
      <c r="X298" s="457"/>
      <c r="Y298" s="457"/>
      <c r="Z298" s="457"/>
      <c r="AA298" s="457"/>
      <c r="AB298" s="457"/>
    </row>
    <row r="299" spans="1:28" ht="15.75">
      <c r="A299" s="458"/>
      <c r="B299" s="458"/>
      <c r="C299" s="458"/>
      <c r="D299" s="457"/>
      <c r="E299" s="457"/>
      <c r="F299" s="457"/>
      <c r="G299" s="457"/>
      <c r="H299" s="457"/>
      <c r="I299" s="457"/>
      <c r="J299" s="457"/>
      <c r="K299" s="457"/>
      <c r="L299" s="457"/>
      <c r="M299" s="457"/>
      <c r="N299" s="457"/>
      <c r="O299" s="457"/>
      <c r="P299" s="457"/>
      <c r="Q299" s="457"/>
      <c r="R299" s="457"/>
      <c r="S299" s="457"/>
      <c r="T299" s="457"/>
      <c r="U299" s="457"/>
      <c r="V299" s="457"/>
      <c r="W299" s="457"/>
      <c r="X299" s="457"/>
      <c r="Y299" s="457"/>
      <c r="Z299" s="457"/>
      <c r="AA299" s="457"/>
      <c r="AB299" s="457"/>
    </row>
    <row r="300" spans="1:28" ht="15.75">
      <c r="A300" s="458"/>
      <c r="B300" s="458"/>
      <c r="C300" s="458"/>
      <c r="D300" s="457"/>
      <c r="E300" s="457"/>
      <c r="F300" s="457"/>
      <c r="G300" s="457"/>
      <c r="H300" s="457"/>
      <c r="I300" s="457"/>
      <c r="J300" s="457"/>
      <c r="K300" s="457"/>
      <c r="L300" s="457"/>
      <c r="M300" s="457"/>
      <c r="N300" s="457"/>
      <c r="O300" s="457"/>
      <c r="P300" s="457"/>
      <c r="Q300" s="457"/>
      <c r="R300" s="457"/>
      <c r="S300" s="457"/>
      <c r="T300" s="457"/>
      <c r="U300" s="457"/>
      <c r="V300" s="457"/>
      <c r="W300" s="457"/>
      <c r="X300" s="457"/>
      <c r="Y300" s="457"/>
      <c r="Z300" s="457"/>
      <c r="AA300" s="457"/>
      <c r="AB300" s="457"/>
    </row>
    <row r="301" spans="1:28" ht="15.75">
      <c r="A301" s="458"/>
      <c r="B301" s="458"/>
      <c r="C301" s="458"/>
      <c r="D301" s="457"/>
      <c r="E301" s="457"/>
      <c r="F301" s="457"/>
      <c r="G301" s="457"/>
      <c r="H301" s="457"/>
      <c r="I301" s="457"/>
      <c r="J301" s="457"/>
      <c r="K301" s="457"/>
      <c r="L301" s="457"/>
      <c r="M301" s="457"/>
      <c r="N301" s="457"/>
      <c r="O301" s="457"/>
      <c r="P301" s="457"/>
      <c r="Q301" s="457"/>
      <c r="R301" s="457"/>
      <c r="S301" s="457"/>
      <c r="T301" s="457"/>
      <c r="U301" s="457"/>
      <c r="V301" s="457"/>
      <c r="W301" s="457"/>
      <c r="X301" s="457"/>
      <c r="Y301" s="457"/>
      <c r="Z301" s="457"/>
      <c r="AA301" s="457"/>
      <c r="AB301" s="457"/>
    </row>
    <row r="302" spans="1:28" ht="15.75">
      <c r="A302" s="458"/>
      <c r="B302" s="458"/>
      <c r="C302" s="458"/>
      <c r="D302" s="457"/>
      <c r="E302" s="457"/>
      <c r="F302" s="457"/>
      <c r="G302" s="457"/>
      <c r="H302" s="457"/>
      <c r="I302" s="457"/>
      <c r="J302" s="457"/>
      <c r="K302" s="457"/>
      <c r="L302" s="457"/>
      <c r="M302" s="457"/>
      <c r="N302" s="457"/>
      <c r="O302" s="457"/>
      <c r="P302" s="457"/>
      <c r="Q302" s="457"/>
      <c r="R302" s="457"/>
      <c r="S302" s="457"/>
      <c r="T302" s="457"/>
      <c r="U302" s="457"/>
      <c r="V302" s="457"/>
      <c r="W302" s="457"/>
      <c r="X302" s="457"/>
      <c r="Y302" s="457"/>
      <c r="Z302" s="457"/>
      <c r="AA302" s="457"/>
      <c r="AB302" s="457"/>
    </row>
    <row r="303" spans="1:28" ht="15.75">
      <c r="A303" s="458"/>
      <c r="B303" s="458"/>
      <c r="C303" s="458"/>
      <c r="D303" s="457"/>
      <c r="E303" s="457"/>
      <c r="F303" s="457"/>
      <c r="G303" s="457"/>
      <c r="H303" s="457"/>
      <c r="I303" s="457"/>
      <c r="J303" s="457"/>
      <c r="K303" s="457"/>
      <c r="L303" s="457"/>
      <c r="M303" s="457"/>
      <c r="N303" s="457"/>
      <c r="O303" s="457"/>
      <c r="P303" s="457"/>
      <c r="Q303" s="457"/>
      <c r="R303" s="457"/>
      <c r="S303" s="457"/>
      <c r="T303" s="457"/>
      <c r="U303" s="457"/>
      <c r="V303" s="457"/>
      <c r="W303" s="457"/>
      <c r="X303" s="457"/>
      <c r="Y303" s="457"/>
      <c r="Z303" s="457"/>
      <c r="AA303" s="457"/>
      <c r="AB303" s="457"/>
    </row>
    <row r="304" spans="1:28" ht="15.75">
      <c r="A304" s="458"/>
      <c r="B304" s="458"/>
      <c r="C304" s="458"/>
      <c r="D304" s="457"/>
      <c r="E304" s="457"/>
      <c r="F304" s="457"/>
      <c r="G304" s="457"/>
      <c r="H304" s="457"/>
      <c r="I304" s="457"/>
      <c r="J304" s="457"/>
      <c r="K304" s="457"/>
      <c r="L304" s="457"/>
      <c r="M304" s="457"/>
      <c r="N304" s="457"/>
      <c r="O304" s="457"/>
      <c r="P304" s="457"/>
      <c r="Q304" s="457"/>
      <c r="R304" s="457"/>
      <c r="S304" s="457"/>
      <c r="T304" s="457"/>
      <c r="U304" s="457"/>
      <c r="V304" s="457"/>
      <c r="W304" s="457"/>
      <c r="X304" s="457"/>
      <c r="Y304" s="457"/>
      <c r="Z304" s="457"/>
      <c r="AA304" s="457"/>
      <c r="AB304" s="457"/>
    </row>
    <row r="305" spans="1:28" ht="15.75">
      <c r="A305" s="458"/>
      <c r="B305" s="458"/>
      <c r="C305" s="458"/>
      <c r="D305" s="457"/>
      <c r="E305" s="457"/>
      <c r="F305" s="457"/>
      <c r="G305" s="457"/>
      <c r="H305" s="457"/>
      <c r="I305" s="457"/>
      <c r="J305" s="457"/>
      <c r="K305" s="457"/>
      <c r="L305" s="457"/>
      <c r="M305" s="457"/>
      <c r="N305" s="457"/>
      <c r="O305" s="457"/>
      <c r="P305" s="457"/>
      <c r="Q305" s="457"/>
      <c r="R305" s="457"/>
      <c r="S305" s="457"/>
      <c r="T305" s="457"/>
      <c r="U305" s="457"/>
      <c r="V305" s="457"/>
      <c r="W305" s="457"/>
      <c r="X305" s="457"/>
      <c r="Y305" s="457"/>
      <c r="Z305" s="457"/>
      <c r="AA305" s="457"/>
      <c r="AB305" s="457"/>
    </row>
    <row r="306" spans="1:28" ht="15.75">
      <c r="A306" s="458"/>
      <c r="B306" s="458"/>
      <c r="C306" s="458"/>
      <c r="D306" s="457"/>
      <c r="E306" s="457"/>
      <c r="F306" s="457"/>
      <c r="G306" s="457"/>
      <c r="H306" s="457"/>
      <c r="I306" s="457"/>
      <c r="J306" s="457"/>
      <c r="K306" s="457"/>
      <c r="L306" s="457"/>
      <c r="M306" s="457"/>
      <c r="N306" s="457"/>
      <c r="O306" s="457"/>
      <c r="P306" s="457"/>
      <c r="Q306" s="457"/>
      <c r="R306" s="457"/>
      <c r="S306" s="457"/>
      <c r="T306" s="457"/>
      <c r="U306" s="457"/>
      <c r="V306" s="457"/>
      <c r="W306" s="457"/>
      <c r="X306" s="457"/>
      <c r="Y306" s="457"/>
      <c r="Z306" s="457"/>
      <c r="AA306" s="457"/>
      <c r="AB306" s="457"/>
    </row>
    <row r="307" spans="1:28" ht="15.75">
      <c r="A307" s="458"/>
      <c r="B307" s="458"/>
      <c r="C307" s="458"/>
      <c r="D307" s="457"/>
      <c r="E307" s="457"/>
      <c r="F307" s="457"/>
      <c r="G307" s="457"/>
      <c r="H307" s="457"/>
      <c r="I307" s="457"/>
      <c r="J307" s="457"/>
      <c r="K307" s="457"/>
      <c r="L307" s="457"/>
      <c r="M307" s="457"/>
      <c r="N307" s="457"/>
      <c r="O307" s="457"/>
      <c r="P307" s="457"/>
      <c r="Q307" s="457"/>
      <c r="R307" s="457"/>
      <c r="S307" s="457"/>
      <c r="T307" s="457"/>
      <c r="U307" s="457"/>
      <c r="V307" s="457"/>
      <c r="W307" s="457"/>
      <c r="X307" s="457"/>
      <c r="Y307" s="457"/>
      <c r="Z307" s="457"/>
      <c r="AA307" s="457"/>
      <c r="AB307" s="457"/>
    </row>
    <row r="308" spans="1:28" ht="15.75">
      <c r="A308" s="458"/>
      <c r="B308" s="458"/>
      <c r="C308" s="458"/>
      <c r="D308" s="457"/>
      <c r="E308" s="457"/>
      <c r="F308" s="457"/>
      <c r="G308" s="457"/>
      <c r="H308" s="457"/>
      <c r="I308" s="457"/>
      <c r="J308" s="457"/>
      <c r="K308" s="457"/>
      <c r="L308" s="457"/>
      <c r="M308" s="457"/>
      <c r="N308" s="457"/>
      <c r="O308" s="457"/>
      <c r="P308" s="457"/>
      <c r="Q308" s="457"/>
      <c r="R308" s="457"/>
      <c r="S308" s="457"/>
      <c r="T308" s="457"/>
      <c r="U308" s="457"/>
      <c r="V308" s="457"/>
      <c r="W308" s="457"/>
      <c r="X308" s="457"/>
      <c r="Y308" s="457"/>
      <c r="Z308" s="457"/>
      <c r="AA308" s="457"/>
      <c r="AB308" s="457"/>
    </row>
    <row r="309" spans="1:28" ht="15.75">
      <c r="A309" s="458"/>
      <c r="B309" s="458"/>
      <c r="C309" s="458"/>
      <c r="D309" s="457"/>
      <c r="E309" s="457"/>
      <c r="F309" s="457"/>
      <c r="G309" s="457"/>
      <c r="H309" s="457"/>
      <c r="I309" s="457"/>
      <c r="J309" s="457"/>
      <c r="K309" s="457"/>
      <c r="L309" s="457"/>
      <c r="M309" s="457"/>
      <c r="N309" s="457"/>
      <c r="O309" s="457"/>
      <c r="P309" s="457"/>
      <c r="Q309" s="457"/>
      <c r="R309" s="457"/>
      <c r="S309" s="457"/>
      <c r="T309" s="457"/>
      <c r="U309" s="457"/>
      <c r="V309" s="457"/>
      <c r="W309" s="457"/>
      <c r="X309" s="457"/>
      <c r="Y309" s="457"/>
      <c r="Z309" s="457"/>
      <c r="AA309" s="457"/>
      <c r="AB309" s="457"/>
    </row>
    <row r="310" spans="1:28" ht="15.75">
      <c r="A310" s="458"/>
      <c r="B310" s="458"/>
      <c r="C310" s="458"/>
      <c r="D310" s="457"/>
      <c r="E310" s="457"/>
      <c r="F310" s="457"/>
      <c r="G310" s="457"/>
      <c r="H310" s="457"/>
      <c r="I310" s="457"/>
      <c r="J310" s="457"/>
      <c r="K310" s="457"/>
      <c r="L310" s="457"/>
      <c r="M310" s="457"/>
      <c r="N310" s="457"/>
      <c r="O310" s="457"/>
      <c r="P310" s="457"/>
      <c r="Q310" s="457"/>
      <c r="R310" s="457"/>
      <c r="S310" s="457"/>
      <c r="T310" s="457"/>
      <c r="U310" s="457"/>
      <c r="V310" s="457"/>
      <c r="W310" s="457"/>
      <c r="X310" s="457"/>
      <c r="Y310" s="457"/>
      <c r="Z310" s="457"/>
      <c r="AA310" s="457"/>
      <c r="AB310" s="457"/>
    </row>
    <row r="311" spans="1:28" ht="15.75">
      <c r="A311" s="458"/>
      <c r="B311" s="458"/>
      <c r="C311" s="458"/>
      <c r="D311" s="457"/>
      <c r="E311" s="457"/>
      <c r="F311" s="457"/>
      <c r="G311" s="457"/>
      <c r="H311" s="457"/>
      <c r="I311" s="457"/>
      <c r="J311" s="457"/>
      <c r="K311" s="457"/>
      <c r="L311" s="457"/>
      <c r="M311" s="457"/>
      <c r="N311" s="457"/>
      <c r="O311" s="457"/>
      <c r="P311" s="457"/>
      <c r="Q311" s="457"/>
      <c r="R311" s="457"/>
      <c r="S311" s="457"/>
      <c r="T311" s="457"/>
      <c r="U311" s="457"/>
      <c r="V311" s="457"/>
      <c r="W311" s="457"/>
      <c r="X311" s="457"/>
      <c r="Y311" s="457"/>
      <c r="Z311" s="457"/>
      <c r="AA311" s="457"/>
      <c r="AB311" s="457"/>
    </row>
    <row r="312" spans="1:28" ht="15.75">
      <c r="B312" s="458"/>
      <c r="C312" s="458"/>
      <c r="D312" s="457"/>
      <c r="E312" s="457"/>
      <c r="F312" s="457"/>
      <c r="G312" s="457"/>
      <c r="H312" s="457"/>
      <c r="I312" s="457"/>
      <c r="J312" s="457"/>
      <c r="K312" s="457"/>
      <c r="L312" s="457"/>
      <c r="M312" s="457"/>
      <c r="N312" s="457"/>
      <c r="O312" s="457"/>
      <c r="P312" s="457"/>
      <c r="Q312" s="457"/>
      <c r="R312" s="457"/>
      <c r="S312" s="457"/>
      <c r="T312" s="457"/>
      <c r="U312" s="457"/>
      <c r="V312" s="457"/>
      <c r="W312" s="457"/>
      <c r="X312" s="457"/>
      <c r="Y312" s="457"/>
      <c r="Z312" s="457"/>
      <c r="AA312" s="457"/>
      <c r="AB312" s="457"/>
    </row>
    <row r="313" spans="1:28" ht="15.75">
      <c r="B313" s="458"/>
      <c r="C313" s="458"/>
      <c r="D313" s="457"/>
      <c r="E313" s="457"/>
      <c r="F313" s="457"/>
      <c r="G313" s="457"/>
      <c r="H313" s="457"/>
      <c r="I313" s="457"/>
      <c r="J313" s="457"/>
      <c r="K313" s="457"/>
      <c r="L313" s="457"/>
      <c r="M313" s="457"/>
      <c r="N313" s="457"/>
      <c r="O313" s="457"/>
      <c r="P313" s="457"/>
      <c r="Q313" s="457"/>
      <c r="R313" s="457"/>
      <c r="S313" s="457"/>
      <c r="T313" s="457"/>
      <c r="U313" s="457"/>
      <c r="V313" s="457"/>
      <c r="W313" s="457"/>
      <c r="X313" s="457"/>
      <c r="Y313" s="457"/>
      <c r="Z313" s="457"/>
      <c r="AA313" s="457"/>
      <c r="AB313" s="457"/>
    </row>
    <row r="333" spans="1:6">
      <c r="A333" s="831"/>
    </row>
    <row r="334" spans="1:6">
      <c r="A334" s="831"/>
    </row>
    <row r="335" spans="1:6">
      <c r="A335" s="831"/>
      <c r="B335" s="831"/>
      <c r="C335" s="831"/>
      <c r="D335" s="631"/>
      <c r="E335" s="631"/>
      <c r="F335" s="631"/>
    </row>
    <row r="336" spans="1:6">
      <c r="A336" s="831"/>
      <c r="B336" s="831"/>
      <c r="C336" s="831"/>
      <c r="D336" s="631"/>
      <c r="E336" s="631"/>
      <c r="F336" s="631"/>
    </row>
    <row r="337" spans="1:6">
      <c r="A337" s="831"/>
      <c r="B337" s="831"/>
      <c r="C337" s="831"/>
      <c r="D337" s="631"/>
      <c r="E337" s="631"/>
      <c r="F337" s="631"/>
    </row>
    <row r="338" spans="1:6">
      <c r="A338" s="831"/>
      <c r="B338" s="831"/>
      <c r="C338" s="831"/>
      <c r="D338" s="631"/>
      <c r="E338" s="631"/>
      <c r="F338" s="631"/>
    </row>
    <row r="339" spans="1:6">
      <c r="A339" s="831"/>
      <c r="B339" s="831"/>
      <c r="C339" s="831"/>
      <c r="D339" s="631"/>
      <c r="E339" s="631"/>
      <c r="F339" s="631"/>
    </row>
    <row r="340" spans="1:6">
      <c r="A340" s="831"/>
      <c r="B340" s="831"/>
      <c r="C340" s="831"/>
      <c r="D340" s="631"/>
      <c r="E340" s="631"/>
      <c r="F340" s="631"/>
    </row>
    <row r="341" spans="1:6">
      <c r="A341" s="831"/>
      <c r="B341" s="831"/>
      <c r="C341" s="831"/>
      <c r="D341" s="631"/>
      <c r="E341" s="631"/>
      <c r="F341" s="631"/>
    </row>
    <row r="342" spans="1:6">
      <c r="B342" s="831"/>
      <c r="C342" s="831"/>
      <c r="D342" s="631"/>
      <c r="E342" s="631"/>
      <c r="F342" s="631"/>
    </row>
    <row r="343" spans="1:6">
      <c r="B343" s="831"/>
      <c r="C343" s="831"/>
      <c r="D343" s="631"/>
      <c r="E343" s="631"/>
      <c r="F343" s="631"/>
    </row>
  </sheetData>
  <mergeCells count="4">
    <mergeCell ref="A1:J1"/>
    <mergeCell ref="A3:J3"/>
    <mergeCell ref="D78:H78"/>
    <mergeCell ref="D106:H106"/>
  </mergeCells>
  <phoneticPr fontId="0" type="noConversion"/>
  <printOptions horizontalCentered="1"/>
  <pageMargins left="0.75" right="0.5" top="1" bottom="0.5" header="0.5" footer="0.5"/>
  <pageSetup scale="65" fitToHeight="2" orientation="portrait" r:id="rId1"/>
  <headerFooter alignWithMargins="0">
    <oddHeader xml:space="preserve">&amp;L&amp;"Arial,Bold"&amp;11
&amp;R&amp;"Times New Roman,Bold"&amp;11Appendix A
Page &amp;P of &amp;N
</oddHeader>
  </headerFooter>
  <rowBreaks count="2" manualBreakCount="2">
    <brk id="53" max="16383" man="1"/>
    <brk id="10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392"/>
  <sheetViews>
    <sheetView topLeftCell="EK23" zoomScaleNormal="100" zoomScaleSheetLayoutView="50" workbookViewId="0">
      <selection activeCell="EV61" sqref="EV61"/>
    </sheetView>
  </sheetViews>
  <sheetFormatPr defaultColWidth="9.140625" defaultRowHeight="12.75"/>
  <cols>
    <col min="1" max="1" width="22.28515625" style="627" customWidth="1"/>
    <col min="2" max="2" width="13" style="960" customWidth="1"/>
    <col min="3" max="5" width="15" style="627" customWidth="1"/>
    <col min="6" max="6" width="15" style="924" customWidth="1"/>
    <col min="7" max="9" width="15" style="627" customWidth="1"/>
    <col min="10" max="10" width="15" style="924" customWidth="1"/>
    <col min="11" max="18" width="15" style="627" customWidth="1"/>
    <col min="19" max="19" width="12" style="627" customWidth="1"/>
    <col min="20" max="20" width="15" style="627" customWidth="1"/>
    <col min="21" max="21" width="11.28515625" style="627" customWidth="1"/>
    <col min="22" max="22" width="10.28515625" style="627" customWidth="1"/>
    <col min="23" max="23" width="12" style="627" customWidth="1"/>
    <col min="24" max="24" width="15" style="627" customWidth="1"/>
    <col min="25" max="25" width="11.28515625" style="627" customWidth="1"/>
    <col min="26" max="26" width="10.28515625" style="627" customWidth="1"/>
    <col min="27" max="27" width="12" style="627" customWidth="1"/>
    <col min="28" max="28" width="15" style="627" customWidth="1"/>
    <col min="29" max="29" width="11.28515625" style="627" customWidth="1"/>
    <col min="30" max="30" width="10.28515625" style="627" customWidth="1"/>
    <col min="31" max="31" width="15.5703125" style="627" customWidth="1"/>
    <col min="32" max="32" width="16.140625" style="627" customWidth="1"/>
    <col min="33" max="33" width="14.85546875" style="627" customWidth="1"/>
    <col min="34" max="34" width="17.7109375" style="627" customWidth="1"/>
    <col min="35" max="38" width="15.28515625" style="627" customWidth="1"/>
    <col min="39" max="39" width="11.5703125" style="627" bestFit="1" customWidth="1"/>
    <col min="40" max="43" width="15.28515625" style="627" customWidth="1"/>
    <col min="44" max="44" width="15" style="627" customWidth="1"/>
    <col min="45" max="45" width="11.28515625" style="627" bestFit="1" customWidth="1"/>
    <col min="46" max="46" width="10.28515625" style="627" bestFit="1" customWidth="1"/>
    <col min="47" max="70" width="0" style="627" hidden="1" customWidth="1"/>
    <col min="71" max="71" width="11.5703125" style="627" bestFit="1" customWidth="1"/>
    <col min="72" max="72" width="15" style="627" customWidth="1"/>
    <col min="73" max="74" width="9.140625" style="627"/>
    <col min="75" max="75" width="14" style="627" bestFit="1" customWidth="1"/>
    <col min="76" max="76" width="15" style="627" customWidth="1"/>
    <col min="77" max="77" width="11.28515625" style="627" bestFit="1" customWidth="1"/>
    <col min="78" max="78" width="10.28515625" style="627" bestFit="1" customWidth="1"/>
    <col min="79" max="79" width="12.85546875" style="627" bestFit="1" customWidth="1"/>
    <col min="80" max="80" width="15" style="627" customWidth="1"/>
    <col min="81" max="81" width="10.28515625" style="627" bestFit="1" customWidth="1"/>
    <col min="82" max="82" width="9.140625" style="627"/>
    <col min="83" max="83" width="11.5703125" style="627" bestFit="1" customWidth="1"/>
    <col min="84" max="84" width="15" style="627" customWidth="1"/>
    <col min="85" max="86" width="9.140625" style="627"/>
    <col min="87" max="87" width="11.5703125" style="627" bestFit="1" customWidth="1"/>
    <col min="88" max="88" width="15" style="627" customWidth="1"/>
    <col min="89" max="90" width="9.140625" style="627"/>
    <col min="91" max="91" width="14" style="627" bestFit="1" customWidth="1"/>
    <col min="92" max="92" width="9.140625" style="627"/>
    <col min="93" max="93" width="11.28515625" style="627" bestFit="1" customWidth="1"/>
    <col min="94" max="94" width="10.28515625" style="627" bestFit="1" customWidth="1"/>
    <col min="95" max="95" width="14" style="627" bestFit="1" customWidth="1"/>
    <col min="96" max="96" width="12.85546875" style="627" customWidth="1"/>
    <col min="97" max="97" width="11.85546875" style="627" bestFit="1" customWidth="1"/>
    <col min="98" max="98" width="11.28515625" style="627" bestFit="1" customWidth="1"/>
    <col min="99" max="99" width="13.7109375" style="627" customWidth="1"/>
    <col min="100" max="100" width="11.85546875" style="627" customWidth="1"/>
    <col min="101" max="101" width="12.28515625" style="627" customWidth="1"/>
    <col min="102" max="102" width="13.140625" style="627" customWidth="1"/>
    <col min="103" max="103" width="12.28515625" style="627" bestFit="1" customWidth="1"/>
    <col min="104" max="104" width="17.85546875" style="627" bestFit="1" customWidth="1"/>
    <col min="105" max="105" width="15.140625" style="627" bestFit="1" customWidth="1"/>
    <col min="106" max="106" width="11.28515625" style="627" bestFit="1" customWidth="1"/>
    <col min="107" max="107" width="9.140625" style="627"/>
    <col min="108" max="108" width="12" style="627" bestFit="1" customWidth="1"/>
    <col min="109" max="109" width="15" style="627" customWidth="1"/>
    <col min="110" max="110" width="11.28515625" style="627" bestFit="1" customWidth="1"/>
    <col min="111" max="111" width="10.28515625" style="627" bestFit="1" customWidth="1"/>
    <col min="112" max="112" width="12" style="627" bestFit="1" customWidth="1"/>
    <col min="113" max="113" width="15" style="627" customWidth="1"/>
    <col min="114" max="114" width="11.28515625" style="627" bestFit="1" customWidth="1"/>
    <col min="115" max="115" width="10.28515625" style="627" customWidth="1"/>
    <col min="116" max="116" width="12" style="627" bestFit="1" customWidth="1"/>
    <col min="117" max="117" width="15.42578125" style="627" customWidth="1"/>
    <col min="118" max="118" width="11.28515625" style="627" bestFit="1" customWidth="1"/>
    <col min="119" max="119" width="10.28515625" style="627" bestFit="1" customWidth="1"/>
    <col min="120" max="120" width="10.28515625" style="627" customWidth="1"/>
    <col min="121" max="121" width="15" style="627" customWidth="1"/>
    <col min="122" max="123" width="10.28515625" style="627" customWidth="1"/>
    <col min="124" max="124" width="12" style="627" bestFit="1" customWidth="1"/>
    <col min="125" max="125" width="16.7109375" style="627" customWidth="1"/>
    <col min="126" max="126" width="11.28515625" style="627" bestFit="1" customWidth="1"/>
    <col min="127" max="127" width="10.28515625" style="627" bestFit="1" customWidth="1"/>
    <col min="128" max="128" width="12" style="627" bestFit="1" customWidth="1"/>
    <col min="129" max="129" width="16" style="627" customWidth="1"/>
    <col min="130" max="131" width="11.28515625" style="627" bestFit="1" customWidth="1"/>
    <col min="132" max="132" width="13.7109375" style="627" customWidth="1"/>
    <col min="133" max="133" width="13.85546875" style="627" customWidth="1"/>
    <col min="134" max="134" width="13.5703125" style="627" customWidth="1"/>
    <col min="135" max="135" width="14.7109375" style="627" customWidth="1"/>
    <col min="136" max="136" width="13.7109375" style="627" customWidth="1"/>
    <col min="137" max="137" width="15.42578125" style="627" customWidth="1"/>
    <col min="138" max="138" width="12.7109375" style="627" customWidth="1"/>
    <col min="139" max="139" width="14.85546875" style="627" customWidth="1"/>
    <col min="140" max="140" width="13.140625" style="627" customWidth="1"/>
    <col min="141" max="141" width="14" style="627" customWidth="1"/>
    <col min="142" max="142" width="14.140625" style="627" customWidth="1"/>
    <col min="143" max="143" width="12.85546875" style="627" customWidth="1"/>
    <col min="144" max="144" width="13.42578125" style="627" customWidth="1"/>
    <col min="145" max="145" width="13" style="627" customWidth="1"/>
    <col min="146" max="146" width="13.42578125" style="627" customWidth="1"/>
    <col min="147" max="151" width="12.5703125" style="627" customWidth="1"/>
    <col min="152" max="152" width="11.28515625" style="627" bestFit="1" customWidth="1"/>
    <col min="153" max="153" width="9.140625" style="627"/>
    <col min="154" max="154" width="15" style="627" customWidth="1"/>
    <col min="155" max="155" width="9.140625" style="627"/>
    <col min="156" max="156" width="15.85546875" style="627" customWidth="1"/>
    <col min="157" max="157" width="12.140625" style="627" customWidth="1"/>
    <col min="158" max="158" width="15" style="627" customWidth="1"/>
    <col min="159" max="159" width="12" style="627" customWidth="1"/>
    <col min="160" max="160" width="10.140625" style="627" customWidth="1"/>
    <col min="161" max="161" width="10.28515625" style="627" bestFit="1" customWidth="1"/>
    <col min="162" max="16384" width="9.140625" style="627"/>
  </cols>
  <sheetData>
    <row r="1" spans="1:133" ht="18" customHeight="1">
      <c r="A1" s="1071" t="str">
        <f>+'ATT H-2A'!A4</f>
        <v>Baltimore Gas and Electric Company</v>
      </c>
      <c r="B1" s="1071"/>
      <c r="C1" s="1071"/>
      <c r="D1" s="1071"/>
      <c r="E1" s="1071"/>
      <c r="F1" s="1071"/>
      <c r="G1" s="1071"/>
      <c r="H1" s="1071"/>
      <c r="I1" s="1071"/>
      <c r="J1" s="1071"/>
      <c r="K1" s="1071"/>
      <c r="L1" s="1071"/>
      <c r="M1" s="1071"/>
      <c r="N1" s="1071"/>
      <c r="O1" s="1071"/>
      <c r="P1" s="1071"/>
      <c r="Q1" s="1071"/>
      <c r="R1" s="1071"/>
      <c r="S1" s="1071"/>
      <c r="T1" s="1071"/>
      <c r="U1" s="1071"/>
      <c r="V1" s="1071"/>
      <c r="W1" s="1071"/>
      <c r="X1" s="1071"/>
      <c r="Y1" s="1071"/>
      <c r="Z1" s="1071"/>
      <c r="AA1" s="1071"/>
      <c r="AB1" s="1071"/>
      <c r="AC1" s="1071"/>
      <c r="AD1" s="1071"/>
      <c r="AE1" s="1071"/>
      <c r="AF1" s="1071"/>
      <c r="AG1" s="1071"/>
      <c r="AH1" s="1071"/>
      <c r="AI1" s="1071"/>
      <c r="AJ1" s="1071"/>
      <c r="AK1" s="1071"/>
      <c r="AL1" s="1071"/>
      <c r="AM1" s="1071"/>
      <c r="AN1" s="1071"/>
      <c r="AO1" s="1071"/>
      <c r="AP1" s="1071"/>
      <c r="AQ1" s="1071"/>
    </row>
    <row r="3" spans="1:133" ht="15.75">
      <c r="A3" s="1073" t="s">
        <v>51</v>
      </c>
      <c r="B3" s="1073"/>
      <c r="C3" s="1073"/>
      <c r="D3" s="1073"/>
      <c r="E3" s="1073"/>
      <c r="F3" s="1073"/>
      <c r="G3" s="1073"/>
      <c r="H3" s="1073"/>
      <c r="I3" s="1073"/>
      <c r="J3" s="1073"/>
      <c r="K3" s="1073"/>
      <c r="L3" s="1073"/>
      <c r="M3" s="1073"/>
      <c r="N3" s="1073"/>
      <c r="O3" s="1073"/>
      <c r="P3" s="1073"/>
      <c r="Q3" s="1073"/>
      <c r="R3" s="1073"/>
      <c r="S3" s="1073"/>
      <c r="T3" s="1073"/>
      <c r="U3" s="1073"/>
      <c r="V3" s="1073"/>
      <c r="W3" s="1073"/>
      <c r="X3" s="1073"/>
      <c r="Y3" s="1073"/>
      <c r="Z3" s="1073"/>
      <c r="AA3" s="1073"/>
      <c r="AB3" s="1073"/>
      <c r="AC3" s="1073"/>
      <c r="AD3" s="1073"/>
      <c r="AE3" s="1073"/>
      <c r="AF3" s="1073"/>
      <c r="AG3" s="1073"/>
      <c r="AH3" s="1073"/>
      <c r="AI3" s="1073"/>
      <c r="AJ3" s="1073"/>
      <c r="AK3" s="1073"/>
      <c r="AL3" s="1073"/>
      <c r="AM3" s="1073"/>
      <c r="AN3" s="1073"/>
      <c r="AO3" s="1073"/>
      <c r="AP3" s="1073"/>
      <c r="AQ3" s="1073"/>
    </row>
    <row r="5" spans="1:133">
      <c r="EC5" s="1063"/>
    </row>
    <row r="6" spans="1:133">
      <c r="EC6" s="1063"/>
    </row>
    <row r="7" spans="1:133">
      <c r="A7" s="627" t="s">
        <v>501</v>
      </c>
      <c r="EC7" s="1063"/>
    </row>
    <row r="8" spans="1:133">
      <c r="EC8" s="1063"/>
    </row>
    <row r="9" spans="1:133">
      <c r="A9" s="212" t="s">
        <v>469</v>
      </c>
      <c r="EC9" s="1063"/>
    </row>
    <row r="10" spans="1:133">
      <c r="A10" s="212"/>
      <c r="B10" s="960" t="s">
        <v>499</v>
      </c>
      <c r="EC10" s="1063"/>
    </row>
    <row r="11" spans="1:133">
      <c r="A11" s="960" t="s">
        <v>178</v>
      </c>
      <c r="B11" s="659">
        <v>159</v>
      </c>
      <c r="C11" s="925" t="str">
        <f>+'ATT H-2A'!C269</f>
        <v>Net Plant Carrying Charge without Depreciation</v>
      </c>
      <c r="F11" s="660"/>
      <c r="L11" s="993">
        <f>+'ATT H-2A'!H269</f>
        <v>0.17830653282031467</v>
      </c>
      <c r="EC11" s="1063"/>
    </row>
    <row r="12" spans="1:133">
      <c r="A12" s="960" t="s">
        <v>341</v>
      </c>
      <c r="B12" s="659">
        <v>166</v>
      </c>
      <c r="C12" s="925" t="str">
        <f>+'ATT H-2A'!C279</f>
        <v>Net Plant Carrying Charge per 100 basis point increase in ROE without Depreciation</v>
      </c>
      <c r="F12" s="660"/>
      <c r="L12" s="993">
        <f>+'ATT H-2A'!H279</f>
        <v>0.18626014689039538</v>
      </c>
      <c r="EC12" s="1063"/>
    </row>
    <row r="13" spans="1:133">
      <c r="A13" s="960" t="s">
        <v>150</v>
      </c>
      <c r="C13" s="627" t="s">
        <v>471</v>
      </c>
      <c r="F13" s="660"/>
      <c r="L13" s="993">
        <f>+L12-L11</f>
        <v>7.9536140700807167E-3</v>
      </c>
      <c r="EC13" s="1063"/>
    </row>
    <row r="14" spans="1:133">
      <c r="F14" s="660"/>
      <c r="L14" s="993"/>
      <c r="EC14" s="1063"/>
    </row>
    <row r="15" spans="1:133">
      <c r="A15" s="212" t="s">
        <v>468</v>
      </c>
      <c r="F15" s="660"/>
      <c r="L15" s="993"/>
      <c r="EC15" s="1063"/>
    </row>
    <row r="16" spans="1:133">
      <c r="A16" s="212"/>
      <c r="F16" s="660"/>
      <c r="L16" s="993"/>
    </row>
    <row r="17" spans="1:161">
      <c r="A17" s="960" t="s">
        <v>179</v>
      </c>
      <c r="B17" s="659">
        <v>160</v>
      </c>
      <c r="C17" s="925" t="str">
        <f>+'ATT H-2A'!C270</f>
        <v>Net Plant Carrying Charge without Depreciation, Return, nor Income Taxes</v>
      </c>
      <c r="F17" s="660"/>
      <c r="L17" s="993">
        <f>+'ATT H-2A'!H270</f>
        <v>7.750070368191711E-2</v>
      </c>
    </row>
    <row r="19" spans="1:161">
      <c r="A19" s="187" t="s">
        <v>62</v>
      </c>
      <c r="B19" s="1038"/>
    </row>
    <row r="20" spans="1:161">
      <c r="A20" s="187" t="s">
        <v>638</v>
      </c>
      <c r="B20" s="1038"/>
    </row>
    <row r="21" spans="1:161" ht="12.75" customHeight="1">
      <c r="A21" s="187" t="s">
        <v>998</v>
      </c>
      <c r="B21" s="646"/>
      <c r="C21" s="646"/>
      <c r="D21" s="646"/>
      <c r="E21" s="646"/>
      <c r="F21" s="646"/>
      <c r="G21" s="646"/>
      <c r="H21" s="646"/>
      <c r="I21" s="646"/>
      <c r="J21" s="646"/>
      <c r="K21" s="646"/>
      <c r="L21" s="646"/>
      <c r="M21" s="646"/>
      <c r="N21" s="646"/>
      <c r="O21" s="646"/>
      <c r="P21" s="646"/>
      <c r="Q21" s="646"/>
      <c r="R21" s="646"/>
      <c r="U21" s="646"/>
      <c r="V21" s="646"/>
      <c r="W21" s="646"/>
      <c r="X21" s="646"/>
      <c r="Y21" s="646"/>
      <c r="Z21" s="646"/>
      <c r="AA21" s="646"/>
      <c r="AB21" s="646"/>
      <c r="AC21" s="646"/>
      <c r="AD21" s="646"/>
      <c r="AE21" s="646"/>
      <c r="AF21" s="646"/>
      <c r="AG21" s="646"/>
    </row>
    <row r="22" spans="1:161" ht="13.7" customHeight="1" thickBot="1">
      <c r="A22" s="187" t="s">
        <v>999</v>
      </c>
      <c r="B22" s="646"/>
      <c r="C22" s="646"/>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c r="AG22" s="646"/>
    </row>
    <row r="23" spans="1:161" ht="25.5" customHeight="1">
      <c r="A23" s="742" t="s">
        <v>462</v>
      </c>
      <c r="B23" s="834"/>
      <c r="C23" s="1159" t="s">
        <v>940</v>
      </c>
      <c r="D23" s="1103"/>
      <c r="E23" s="1103"/>
      <c r="F23" s="1160"/>
      <c r="G23" s="1153" t="s">
        <v>941</v>
      </c>
      <c r="H23" s="1154"/>
      <c r="I23" s="1154"/>
      <c r="J23" s="1155"/>
      <c r="K23" s="1153" t="s">
        <v>942</v>
      </c>
      <c r="L23" s="1154"/>
      <c r="M23" s="1154"/>
      <c r="N23" s="1155"/>
      <c r="O23" s="1153" t="s">
        <v>943</v>
      </c>
      <c r="P23" s="1154" t="str">
        <f>+O23</f>
        <v>Northwest to Finksburg 2009</v>
      </c>
      <c r="Q23" s="1154" t="str">
        <f>+P23</f>
        <v>Northwest to Finksburg 2009</v>
      </c>
      <c r="R23" s="1155" t="str">
        <f>+Q23</f>
        <v>Northwest to Finksburg 2009</v>
      </c>
      <c r="S23" s="1156" t="s">
        <v>944</v>
      </c>
      <c r="T23" s="1157"/>
      <c r="U23" s="1157"/>
      <c r="V23" s="1158"/>
      <c r="W23" s="1156" t="s">
        <v>945</v>
      </c>
      <c r="X23" s="1157"/>
      <c r="Y23" s="1157"/>
      <c r="Z23" s="1158"/>
      <c r="AA23" s="1161" t="s">
        <v>946</v>
      </c>
      <c r="AB23" s="1162"/>
      <c r="AC23" s="1162"/>
      <c r="AD23" s="1163"/>
      <c r="AE23" s="1156" t="s">
        <v>947</v>
      </c>
      <c r="AF23" s="1157"/>
      <c r="AG23" s="1157"/>
      <c r="AH23" s="1158"/>
      <c r="AI23" s="1156" t="s">
        <v>948</v>
      </c>
      <c r="AJ23" s="1157"/>
      <c r="AK23" s="1157"/>
      <c r="AL23" s="1158"/>
      <c r="AM23" s="1161" t="s">
        <v>949</v>
      </c>
      <c r="AN23" s="1162"/>
      <c r="AO23" s="1162"/>
      <c r="AP23" s="1163"/>
      <c r="AQ23" s="1156" t="s">
        <v>950</v>
      </c>
      <c r="AR23" s="1157"/>
      <c r="AS23" s="1157"/>
      <c r="AT23" s="1158"/>
      <c r="AU23" s="833" t="s">
        <v>489</v>
      </c>
      <c r="AV23" s="743" t="str">
        <f>+AU23</f>
        <v>Project D</v>
      </c>
      <c r="AW23" s="743" t="str">
        <f>+AV23</f>
        <v>Project D</v>
      </c>
      <c r="AX23" s="744" t="str">
        <f>+AW23</f>
        <v>Project D</v>
      </c>
      <c r="AY23" s="833" t="s">
        <v>490</v>
      </c>
      <c r="AZ23" s="743" t="str">
        <f>+AY23</f>
        <v>Project E</v>
      </c>
      <c r="BA23" s="743" t="str">
        <f>+AZ23</f>
        <v>Project E</v>
      </c>
      <c r="BB23" s="744" t="str">
        <f>+BA23</f>
        <v>Project E</v>
      </c>
      <c r="BC23" s="833" t="s">
        <v>491</v>
      </c>
      <c r="BD23" s="743" t="str">
        <f>+BC23</f>
        <v>Project F</v>
      </c>
      <c r="BE23" s="743" t="str">
        <f>+BD23</f>
        <v>Project F</v>
      </c>
      <c r="BF23" s="744" t="str">
        <f>+BE23</f>
        <v>Project F</v>
      </c>
      <c r="BG23" s="833" t="s">
        <v>492</v>
      </c>
      <c r="BH23" s="743" t="str">
        <f>+BG23</f>
        <v>Project G</v>
      </c>
      <c r="BI23" s="743" t="str">
        <f>+BH23</f>
        <v>Project G</v>
      </c>
      <c r="BJ23" s="744" t="str">
        <f>+BI23</f>
        <v>Project G</v>
      </c>
      <c r="BK23" s="833" t="s">
        <v>493</v>
      </c>
      <c r="BL23" s="743" t="str">
        <f>+BK23</f>
        <v>Project H</v>
      </c>
      <c r="BM23" s="743" t="str">
        <f>+BL23</f>
        <v>Project H</v>
      </c>
      <c r="BN23" s="744" t="str">
        <f>+BM23</f>
        <v>Project H</v>
      </c>
      <c r="BO23" s="833" t="s">
        <v>494</v>
      </c>
      <c r="BP23" s="743" t="str">
        <f>+BO23</f>
        <v>Project I</v>
      </c>
      <c r="BQ23" s="743" t="str">
        <f>+BP23</f>
        <v>Project I</v>
      </c>
      <c r="BR23" s="744" t="str">
        <f>+BQ23</f>
        <v>Project I</v>
      </c>
      <c r="BS23" s="1153" t="s">
        <v>951</v>
      </c>
      <c r="BT23" s="1154" t="str">
        <f>+BS23</f>
        <v>Northwest to Finksburg 2010</v>
      </c>
      <c r="BU23" s="1154" t="str">
        <f>+BT23</f>
        <v>Northwest to Finksburg 2010</v>
      </c>
      <c r="BV23" s="1155" t="str">
        <f>+BU23</f>
        <v>Northwest to Finksburg 2010</v>
      </c>
      <c r="BW23" s="1153" t="s">
        <v>952</v>
      </c>
      <c r="BX23" s="1154" t="str">
        <f>+BW23</f>
        <v>Waugh Chapel 500/230 kV Transformer 2011</v>
      </c>
      <c r="BY23" s="1154" t="str">
        <f>+BX23</f>
        <v>Waugh Chapel 500/230 kV Transformer 2011</v>
      </c>
      <c r="BZ23" s="1155" t="str">
        <f>+BY23</f>
        <v>Waugh Chapel 500/230 kV Transformer 2011</v>
      </c>
      <c r="CA23" s="1156" t="s">
        <v>953</v>
      </c>
      <c r="CB23" s="1157"/>
      <c r="CC23" s="1157"/>
      <c r="CD23" s="1158"/>
      <c r="CE23" s="1153" t="s">
        <v>954</v>
      </c>
      <c r="CF23" s="1154" t="str">
        <f>+CE23</f>
        <v>Northwest to Finksburg 2011</v>
      </c>
      <c r="CG23" s="1154" t="str">
        <f>+CF23</f>
        <v>Northwest to Finksburg 2011</v>
      </c>
      <c r="CH23" s="1155" t="str">
        <f>+CG23</f>
        <v>Northwest to Finksburg 2011</v>
      </c>
      <c r="CI23" s="1153" t="s">
        <v>955</v>
      </c>
      <c r="CJ23" s="1154" t="str">
        <f>+CI23</f>
        <v>Waugh Chapel 500/230 kV Transformer 2012</v>
      </c>
      <c r="CK23" s="1154" t="str">
        <f>+CJ23</f>
        <v>Waugh Chapel 500/230 kV Transformer 2012</v>
      </c>
      <c r="CL23" s="1155" t="str">
        <f>+CK23</f>
        <v>Waugh Chapel 500/230 kV Transformer 2012</v>
      </c>
      <c r="CM23" s="1153" t="s">
        <v>1018</v>
      </c>
      <c r="CN23" s="1154" t="str">
        <f>+CM23</f>
        <v>Second Conastone-Graceton 230kV Circuit 2016</v>
      </c>
      <c r="CO23" s="1154" t="str">
        <f>+CN23</f>
        <v>Second Conastone-Graceton 230kV Circuit 2016</v>
      </c>
      <c r="CP23" s="1155" t="str">
        <f>+CO23</f>
        <v>Second Conastone-Graceton 230kV Circuit 2016</v>
      </c>
      <c r="CQ23" s="1153" t="s">
        <v>1019</v>
      </c>
      <c r="CR23" s="1154" t="str">
        <f>+CQ23</f>
        <v>Rebuild Graceton-Bagley 230kV 2016</v>
      </c>
      <c r="CS23" s="1154" t="str">
        <f>+CR23</f>
        <v>Rebuild Graceton-Bagley 230kV 2016</v>
      </c>
      <c r="CT23" s="1155" t="str">
        <f>+CS23</f>
        <v>Rebuild Graceton-Bagley 230kV 2016</v>
      </c>
      <c r="CU23" s="1153" t="s">
        <v>1020</v>
      </c>
      <c r="CV23" s="1154" t="str">
        <f>+CU23</f>
        <v>Rebuild Raphael-Bagley 230 kV 2016</v>
      </c>
      <c r="CW23" s="1154" t="str">
        <f>+CV23</f>
        <v>Rebuild Raphael-Bagley 230 kV 2016</v>
      </c>
      <c r="CX23" s="1155" t="str">
        <f>+CW23</f>
        <v>Rebuild Raphael-Bagley 230 kV 2016</v>
      </c>
      <c r="CY23" s="745"/>
      <c r="DD23" s="1156" t="s">
        <v>956</v>
      </c>
      <c r="DE23" s="1166"/>
      <c r="DF23" s="1166"/>
      <c r="DG23" s="1167"/>
      <c r="DH23" s="1156" t="s">
        <v>956</v>
      </c>
      <c r="DI23" s="1166"/>
      <c r="DJ23" s="1166"/>
      <c r="DK23" s="1167"/>
      <c r="DL23" s="1156" t="s">
        <v>956</v>
      </c>
      <c r="DM23" s="1166"/>
      <c r="DN23" s="1166"/>
      <c r="DO23" s="1167"/>
      <c r="DP23" s="1156" t="s">
        <v>956</v>
      </c>
      <c r="DQ23" s="1166"/>
      <c r="DR23" s="1166"/>
      <c r="DS23" s="1167"/>
      <c r="DT23" s="1156" t="s">
        <v>965</v>
      </c>
      <c r="DU23" s="1166"/>
      <c r="DV23" s="1166"/>
      <c r="DW23" s="1167"/>
      <c r="DX23" s="1156" t="s">
        <v>965</v>
      </c>
      <c r="DY23" s="1166"/>
      <c r="DZ23" s="1166"/>
      <c r="EA23" s="1167"/>
      <c r="EB23" s="1156" t="s">
        <v>965</v>
      </c>
      <c r="EC23" s="1166"/>
      <c r="ED23" s="1166"/>
      <c r="EE23" s="1167"/>
      <c r="EF23" s="1156" t="s">
        <v>965</v>
      </c>
      <c r="EG23" s="1166"/>
      <c r="EH23" s="1166"/>
      <c r="EI23" s="1167"/>
      <c r="EJ23" s="1156" t="s">
        <v>965</v>
      </c>
      <c r="EK23" s="1166"/>
      <c r="EL23" s="1166"/>
      <c r="EM23" s="1167"/>
      <c r="EN23" s="1156" t="s">
        <v>965</v>
      </c>
      <c r="EO23" s="1166"/>
      <c r="EP23" s="1166"/>
      <c r="EQ23" s="1167"/>
      <c r="ER23" s="1156" t="s">
        <v>1008</v>
      </c>
      <c r="ES23" s="1166"/>
      <c r="ET23" s="1166"/>
      <c r="EU23" s="1167"/>
      <c r="EW23" s="1156" t="s">
        <v>782</v>
      </c>
      <c r="EX23" s="1157"/>
      <c r="EY23" s="1157"/>
      <c r="EZ23" s="1158"/>
      <c r="FA23" s="1156" t="s">
        <v>972</v>
      </c>
      <c r="FB23" s="1157"/>
      <c r="FC23" s="1157"/>
      <c r="FD23" s="1158"/>
    </row>
    <row r="24" spans="1:161">
      <c r="A24" s="675" t="s">
        <v>249</v>
      </c>
      <c r="B24" s="746" t="s">
        <v>691</v>
      </c>
      <c r="C24" s="747" t="s">
        <v>466</v>
      </c>
      <c r="D24" s="746"/>
      <c r="E24" s="746"/>
      <c r="F24" s="748"/>
      <c r="G24" s="747" t="s">
        <v>466</v>
      </c>
      <c r="H24" s="746"/>
      <c r="I24" s="746"/>
      <c r="J24" s="748"/>
      <c r="K24" s="747" t="s">
        <v>465</v>
      </c>
      <c r="L24" s="746"/>
      <c r="M24" s="746"/>
      <c r="N24" s="748"/>
      <c r="O24" s="747" t="s">
        <v>465</v>
      </c>
      <c r="P24" s="746"/>
      <c r="Q24" s="746"/>
      <c r="R24" s="748"/>
      <c r="S24" s="830" t="s">
        <v>465</v>
      </c>
      <c r="T24" s="831"/>
      <c r="U24" s="831"/>
      <c r="V24" s="832"/>
      <c r="W24" s="830" t="s">
        <v>466</v>
      </c>
      <c r="X24" s="831"/>
      <c r="Y24" s="831"/>
      <c r="Z24" s="832"/>
      <c r="AA24" s="830" t="s">
        <v>466</v>
      </c>
      <c r="AB24" s="831"/>
      <c r="AC24" s="831"/>
      <c r="AD24" s="832"/>
      <c r="AE24" s="830" t="s">
        <v>465</v>
      </c>
      <c r="AF24" s="831"/>
      <c r="AG24" s="831"/>
      <c r="AH24" s="832"/>
      <c r="AI24" s="830" t="s">
        <v>466</v>
      </c>
      <c r="AJ24" s="831"/>
      <c r="AK24" s="831"/>
      <c r="AL24" s="832"/>
      <c r="AM24" s="830" t="s">
        <v>466</v>
      </c>
      <c r="AN24" s="831"/>
      <c r="AO24" s="831"/>
      <c r="AP24" s="832"/>
      <c r="AQ24" s="830" t="s">
        <v>465</v>
      </c>
      <c r="AR24" s="831"/>
      <c r="AS24" s="831"/>
      <c r="AT24" s="832"/>
      <c r="AU24" s="749"/>
      <c r="AV24" s="750"/>
      <c r="AW24" s="750"/>
      <c r="AX24" s="751"/>
      <c r="AY24" s="749"/>
      <c r="AZ24" s="750"/>
      <c r="BA24" s="750"/>
      <c r="BB24" s="751"/>
      <c r="BC24" s="749"/>
      <c r="BD24" s="750"/>
      <c r="BE24" s="750"/>
      <c r="BF24" s="751"/>
      <c r="BG24" s="749"/>
      <c r="BH24" s="750"/>
      <c r="BI24" s="750"/>
      <c r="BJ24" s="751"/>
      <c r="BK24" s="749"/>
      <c r="BL24" s="750"/>
      <c r="BM24" s="750"/>
      <c r="BN24" s="751"/>
      <c r="BO24" s="749"/>
      <c r="BP24" s="750"/>
      <c r="BQ24" s="750"/>
      <c r="BR24" s="751"/>
      <c r="BS24" s="830" t="s">
        <v>465</v>
      </c>
      <c r="BT24" s="831"/>
      <c r="BU24" s="831"/>
      <c r="BV24" s="832"/>
      <c r="BW24" s="830" t="s">
        <v>466</v>
      </c>
      <c r="BX24" s="831"/>
      <c r="BY24" s="831"/>
      <c r="BZ24" s="832"/>
      <c r="CA24" s="830" t="s">
        <v>466</v>
      </c>
      <c r="CB24" s="831"/>
      <c r="CC24" s="831"/>
      <c r="CD24" s="832"/>
      <c r="CE24" s="830" t="s">
        <v>465</v>
      </c>
      <c r="CF24" s="831"/>
      <c r="CG24" s="831"/>
      <c r="CH24" s="832"/>
      <c r="CI24" s="830" t="s">
        <v>466</v>
      </c>
      <c r="CJ24" s="831"/>
      <c r="CK24" s="831"/>
      <c r="CL24" s="832"/>
      <c r="CM24" s="1060" t="s">
        <v>466</v>
      </c>
      <c r="CN24" s="1058"/>
      <c r="CO24" s="1058"/>
      <c r="CP24" s="1061"/>
      <c r="CQ24" s="1060" t="s">
        <v>466</v>
      </c>
      <c r="CR24" s="1058"/>
      <c r="CS24" s="1058"/>
      <c r="CT24" s="1061"/>
      <c r="CU24" s="1060" t="s">
        <v>466</v>
      </c>
      <c r="CV24" s="1058"/>
      <c r="CW24" s="1058"/>
      <c r="CX24" s="1061"/>
      <c r="CY24" s="752"/>
      <c r="DD24" s="830" t="s">
        <v>465</v>
      </c>
      <c r="DE24" s="831"/>
      <c r="DF24" s="831"/>
      <c r="DG24" s="832"/>
      <c r="DH24" s="830" t="s">
        <v>465</v>
      </c>
      <c r="DI24" s="831"/>
      <c r="DJ24" s="831"/>
      <c r="DK24" s="832"/>
      <c r="DL24" s="830" t="s">
        <v>465</v>
      </c>
      <c r="DM24" s="831"/>
      <c r="DN24" s="831"/>
      <c r="DO24" s="832"/>
      <c r="DP24" s="830" t="s">
        <v>465</v>
      </c>
      <c r="DQ24" s="831"/>
      <c r="DR24" s="831"/>
      <c r="DS24" s="832"/>
      <c r="DT24" s="830" t="s">
        <v>465</v>
      </c>
      <c r="DU24" s="831"/>
      <c r="DV24" s="831"/>
      <c r="DW24" s="832"/>
      <c r="DX24" s="830" t="s">
        <v>465</v>
      </c>
      <c r="DY24" s="831"/>
      <c r="DZ24" s="831"/>
      <c r="EA24" s="832"/>
      <c r="EB24" s="1019" t="s">
        <v>465</v>
      </c>
      <c r="EC24" s="1017"/>
      <c r="ED24" s="1017"/>
      <c r="EE24" s="1020"/>
      <c r="EF24" s="1019" t="s">
        <v>465</v>
      </c>
      <c r="EG24" s="1017"/>
      <c r="EH24" s="1017"/>
      <c r="EI24" s="1020"/>
      <c r="EJ24" s="1019" t="s">
        <v>465</v>
      </c>
      <c r="EK24" s="1017"/>
      <c r="EL24" s="1017"/>
      <c r="EM24" s="1020"/>
      <c r="EN24" s="1019" t="s">
        <v>465</v>
      </c>
      <c r="EO24" s="1017"/>
      <c r="EP24" s="1017"/>
      <c r="EQ24" s="1020"/>
      <c r="ER24" s="1050" t="s">
        <v>465</v>
      </c>
      <c r="ES24" s="1048"/>
      <c r="ET24" s="1048"/>
      <c r="EU24" s="1047"/>
      <c r="EW24" s="1164"/>
      <c r="EX24" s="1150"/>
      <c r="EY24" s="1150"/>
      <c r="EZ24" s="1165"/>
      <c r="FA24" s="1164"/>
      <c r="FB24" s="1150"/>
      <c r="FC24" s="1150"/>
      <c r="FD24" s="1165"/>
    </row>
    <row r="25" spans="1:161">
      <c r="A25" s="753" t="s">
        <v>460</v>
      </c>
      <c r="B25" s="746"/>
      <c r="C25" s="747">
        <v>44</v>
      </c>
      <c r="D25" s="746"/>
      <c r="E25" s="746"/>
      <c r="F25" s="754"/>
      <c r="G25" s="747">
        <v>44</v>
      </c>
      <c r="H25" s="746"/>
      <c r="I25" s="746"/>
      <c r="J25" s="754"/>
      <c r="K25" s="747">
        <v>44</v>
      </c>
      <c r="L25" s="746"/>
      <c r="M25" s="746"/>
      <c r="N25" s="754"/>
      <c r="O25" s="747">
        <v>44</v>
      </c>
      <c r="P25" s="746"/>
      <c r="Q25" s="746"/>
      <c r="R25" s="754"/>
      <c r="S25" s="830">
        <v>44</v>
      </c>
      <c r="T25" s="831"/>
      <c r="U25" s="831"/>
      <c r="V25" s="678"/>
      <c r="W25" s="830">
        <v>44</v>
      </c>
      <c r="X25" s="831"/>
      <c r="Y25" s="831"/>
      <c r="Z25" s="678"/>
      <c r="AA25" s="830">
        <v>44</v>
      </c>
      <c r="AB25" s="831"/>
      <c r="AC25" s="831"/>
      <c r="AD25" s="678"/>
      <c r="AE25" s="830">
        <v>44</v>
      </c>
      <c r="AF25" s="831"/>
      <c r="AG25" s="831"/>
      <c r="AH25" s="678"/>
      <c r="AI25" s="830">
        <v>44</v>
      </c>
      <c r="AJ25" s="831"/>
      <c r="AK25" s="831"/>
      <c r="AL25" s="678"/>
      <c r="AM25" s="830">
        <v>44</v>
      </c>
      <c r="AN25" s="831"/>
      <c r="AO25" s="831"/>
      <c r="AP25" s="678"/>
      <c r="AQ25" s="830">
        <v>44</v>
      </c>
      <c r="AR25" s="831"/>
      <c r="AS25" s="831"/>
      <c r="AT25" s="678"/>
      <c r="AU25" s="755">
        <v>40</v>
      </c>
      <c r="AV25" s="746"/>
      <c r="AW25" s="746"/>
      <c r="AX25" s="748"/>
      <c r="AY25" s="755">
        <v>40</v>
      </c>
      <c r="AZ25" s="746"/>
      <c r="BA25" s="746"/>
      <c r="BB25" s="748"/>
      <c r="BC25" s="755">
        <v>40</v>
      </c>
      <c r="BD25" s="746"/>
      <c r="BE25" s="746"/>
      <c r="BF25" s="748"/>
      <c r="BG25" s="755">
        <v>35</v>
      </c>
      <c r="BH25" s="746"/>
      <c r="BI25" s="746"/>
      <c r="BJ25" s="748"/>
      <c r="BK25" s="755">
        <v>25</v>
      </c>
      <c r="BL25" s="746"/>
      <c r="BM25" s="746"/>
      <c r="BN25" s="748"/>
      <c r="BO25" s="755">
        <v>30</v>
      </c>
      <c r="BP25" s="746"/>
      <c r="BQ25" s="746"/>
      <c r="BR25" s="748"/>
      <c r="BS25" s="830">
        <v>44</v>
      </c>
      <c r="BT25" s="831"/>
      <c r="BU25" s="831"/>
      <c r="BV25" s="678"/>
      <c r="BW25" s="830">
        <v>44</v>
      </c>
      <c r="BX25" s="831"/>
      <c r="BY25" s="831"/>
      <c r="BZ25" s="678"/>
      <c r="CA25" s="830">
        <v>44</v>
      </c>
      <c r="CB25" s="831"/>
      <c r="CC25" s="831"/>
      <c r="CD25" s="678"/>
      <c r="CE25" s="830">
        <v>44</v>
      </c>
      <c r="CF25" s="831"/>
      <c r="CG25" s="831"/>
      <c r="CH25" s="678"/>
      <c r="CI25" s="830">
        <v>44</v>
      </c>
      <c r="CJ25" s="831"/>
      <c r="CK25" s="831"/>
      <c r="CL25" s="678"/>
      <c r="CM25" s="1060">
        <v>44</v>
      </c>
      <c r="CN25" s="1058"/>
      <c r="CO25" s="1058"/>
      <c r="CP25" s="678"/>
      <c r="CQ25" s="1060">
        <v>44</v>
      </c>
      <c r="CR25" s="1058"/>
      <c r="CS25" s="1058"/>
      <c r="CT25" s="678"/>
      <c r="CU25" s="1060">
        <v>44</v>
      </c>
      <c r="CV25" s="1058"/>
      <c r="CW25" s="1058"/>
      <c r="CX25" s="678"/>
      <c r="CY25" s="752"/>
      <c r="DD25" s="830">
        <v>10</v>
      </c>
      <c r="DE25" s="831"/>
      <c r="DF25" s="831"/>
      <c r="DG25" s="678"/>
      <c r="DH25" s="830">
        <v>10</v>
      </c>
      <c r="DI25" s="831"/>
      <c r="DJ25" s="831"/>
      <c r="DK25" s="678"/>
      <c r="DL25" s="830">
        <v>10</v>
      </c>
      <c r="DM25" s="831"/>
      <c r="DN25" s="831"/>
      <c r="DO25" s="678"/>
      <c r="DP25" s="830">
        <v>10</v>
      </c>
      <c r="DQ25" s="831"/>
      <c r="DR25" s="831"/>
      <c r="DS25" s="678"/>
      <c r="DT25" s="830">
        <v>10</v>
      </c>
      <c r="DU25" s="831"/>
      <c r="DV25" s="831"/>
      <c r="DW25" s="678"/>
      <c r="DX25" s="830">
        <v>10</v>
      </c>
      <c r="DY25" s="831"/>
      <c r="DZ25" s="831"/>
      <c r="EA25" s="678"/>
      <c r="EB25" s="1019">
        <v>10</v>
      </c>
      <c r="EC25" s="1017"/>
      <c r="ED25" s="1017"/>
      <c r="EE25" s="678"/>
      <c r="EF25" s="1019">
        <v>10</v>
      </c>
      <c r="EG25" s="1017"/>
      <c r="EH25" s="1017"/>
      <c r="EI25" s="678"/>
      <c r="EJ25" s="1019">
        <v>10</v>
      </c>
      <c r="EK25" s="1017"/>
      <c r="EL25" s="1017"/>
      <c r="EM25" s="678"/>
      <c r="EN25" s="1019">
        <v>10</v>
      </c>
      <c r="EO25" s="1017"/>
      <c r="EP25" s="1017"/>
      <c r="EQ25" s="678"/>
      <c r="ER25" s="1050">
        <v>10</v>
      </c>
      <c r="ES25" s="1048"/>
      <c r="ET25" s="1048"/>
      <c r="EU25" s="678"/>
      <c r="EW25" s="830"/>
      <c r="EX25" s="831"/>
      <c r="EY25" s="831"/>
      <c r="EZ25" s="678"/>
      <c r="FA25" s="830">
        <v>1</v>
      </c>
      <c r="FB25" s="831"/>
      <c r="FC25" s="831"/>
      <c r="FD25" s="678"/>
    </row>
    <row r="26" spans="1:161">
      <c r="A26" s="753" t="s">
        <v>461</v>
      </c>
      <c r="B26" s="746" t="s">
        <v>691</v>
      </c>
      <c r="C26" s="747" t="s">
        <v>465</v>
      </c>
      <c r="D26" s="746"/>
      <c r="E26" s="746"/>
      <c r="F26" s="754"/>
      <c r="G26" s="747" t="s">
        <v>465</v>
      </c>
      <c r="H26" s="746"/>
      <c r="I26" s="746"/>
      <c r="J26" s="754"/>
      <c r="K26" s="747" t="s">
        <v>465</v>
      </c>
      <c r="L26" s="746"/>
      <c r="M26" s="746"/>
      <c r="N26" s="754"/>
      <c r="O26" s="747" t="s">
        <v>465</v>
      </c>
      <c r="P26" s="746"/>
      <c r="Q26" s="746"/>
      <c r="R26" s="754"/>
      <c r="S26" s="830" t="s">
        <v>465</v>
      </c>
      <c r="T26" s="831"/>
      <c r="U26" s="831"/>
      <c r="V26" s="678"/>
      <c r="W26" s="830" t="s">
        <v>465</v>
      </c>
      <c r="X26" s="831"/>
      <c r="Y26" s="831"/>
      <c r="Z26" s="678"/>
      <c r="AA26" s="830" t="s">
        <v>465</v>
      </c>
      <c r="AB26" s="831"/>
      <c r="AC26" s="831"/>
      <c r="AD26" s="678"/>
      <c r="AE26" s="830" t="s">
        <v>465</v>
      </c>
      <c r="AF26" s="831"/>
      <c r="AG26" s="831"/>
      <c r="AH26" s="678"/>
      <c r="AI26" s="830" t="s">
        <v>465</v>
      </c>
      <c r="AJ26" s="831"/>
      <c r="AK26" s="831"/>
      <c r="AL26" s="678"/>
      <c r="AM26" s="830" t="s">
        <v>465</v>
      </c>
      <c r="AN26" s="831"/>
      <c r="AO26" s="831"/>
      <c r="AP26" s="678"/>
      <c r="AQ26" s="830" t="s">
        <v>465</v>
      </c>
      <c r="AR26" s="831"/>
      <c r="AS26" s="831"/>
      <c r="AT26" s="678"/>
      <c r="AU26" s="755" t="s">
        <v>465</v>
      </c>
      <c r="AV26" s="746"/>
      <c r="AW26" s="746"/>
      <c r="AX26" s="748"/>
      <c r="AY26" s="755" t="s">
        <v>465</v>
      </c>
      <c r="AZ26" s="746"/>
      <c r="BA26" s="746"/>
      <c r="BB26" s="748"/>
      <c r="BC26" s="755" t="s">
        <v>465</v>
      </c>
      <c r="BD26" s="746"/>
      <c r="BE26" s="746"/>
      <c r="BF26" s="748"/>
      <c r="BG26" s="755" t="s">
        <v>466</v>
      </c>
      <c r="BH26" s="746"/>
      <c r="BI26" s="746"/>
      <c r="BJ26" s="748"/>
      <c r="BK26" s="755" t="s">
        <v>466</v>
      </c>
      <c r="BL26" s="746"/>
      <c r="BM26" s="746"/>
      <c r="BN26" s="748"/>
      <c r="BO26" s="755" t="s">
        <v>465</v>
      </c>
      <c r="BP26" s="746"/>
      <c r="BQ26" s="746"/>
      <c r="BR26" s="748"/>
      <c r="BS26" s="830" t="s">
        <v>465</v>
      </c>
      <c r="BT26" s="831"/>
      <c r="BU26" s="831"/>
      <c r="BV26" s="678"/>
      <c r="BW26" s="830" t="s">
        <v>465</v>
      </c>
      <c r="BX26" s="831"/>
      <c r="BY26" s="831"/>
      <c r="BZ26" s="678"/>
      <c r="CA26" s="830" t="s">
        <v>465</v>
      </c>
      <c r="CB26" s="831"/>
      <c r="CC26" s="831"/>
      <c r="CD26" s="678"/>
      <c r="CE26" s="830" t="s">
        <v>465</v>
      </c>
      <c r="CF26" s="831"/>
      <c r="CG26" s="831"/>
      <c r="CH26" s="678"/>
      <c r="CI26" s="830" t="s">
        <v>465</v>
      </c>
      <c r="CJ26" s="831"/>
      <c r="CK26" s="831"/>
      <c r="CL26" s="678"/>
      <c r="CM26" s="1060" t="s">
        <v>465</v>
      </c>
      <c r="CN26" s="1058"/>
      <c r="CO26" s="1058"/>
      <c r="CP26" s="678"/>
      <c r="CQ26" s="1060" t="s">
        <v>465</v>
      </c>
      <c r="CR26" s="1058"/>
      <c r="CS26" s="1058"/>
      <c r="CT26" s="678"/>
      <c r="CU26" s="1060" t="s">
        <v>465</v>
      </c>
      <c r="CV26" s="1058"/>
      <c r="CW26" s="1058"/>
      <c r="CX26" s="678"/>
      <c r="CY26" s="752"/>
      <c r="DD26" s="830" t="s">
        <v>465</v>
      </c>
      <c r="DE26" s="831"/>
      <c r="DF26" s="831"/>
      <c r="DG26" s="678"/>
      <c r="DH26" s="830" t="s">
        <v>465</v>
      </c>
      <c r="DI26" s="831"/>
      <c r="DJ26" s="831"/>
      <c r="DK26" s="678"/>
      <c r="DL26" s="830" t="s">
        <v>465</v>
      </c>
      <c r="DM26" s="831"/>
      <c r="DN26" s="831"/>
      <c r="DO26" s="678"/>
      <c r="DP26" s="830" t="s">
        <v>465</v>
      </c>
      <c r="DQ26" s="831"/>
      <c r="DR26" s="831"/>
      <c r="DS26" s="678"/>
      <c r="DT26" s="830" t="s">
        <v>465</v>
      </c>
      <c r="DU26" s="831"/>
      <c r="DV26" s="831"/>
      <c r="DW26" s="678"/>
      <c r="DX26" s="830" t="s">
        <v>465</v>
      </c>
      <c r="DY26" s="831"/>
      <c r="DZ26" s="831"/>
      <c r="EA26" s="678"/>
      <c r="EB26" s="1019" t="s">
        <v>465</v>
      </c>
      <c r="EC26" s="1017"/>
      <c r="ED26" s="1017"/>
      <c r="EE26" s="678"/>
      <c r="EF26" s="1019" t="s">
        <v>465</v>
      </c>
      <c r="EG26" s="1017"/>
      <c r="EH26" s="1017"/>
      <c r="EI26" s="678"/>
      <c r="EJ26" s="1019" t="s">
        <v>465</v>
      </c>
      <c r="EK26" s="1017"/>
      <c r="EL26" s="1017"/>
      <c r="EM26" s="678"/>
      <c r="EN26" s="1019" t="s">
        <v>465</v>
      </c>
      <c r="EO26" s="1017"/>
      <c r="EP26" s="1017"/>
      <c r="EQ26" s="678"/>
      <c r="ER26" s="1050" t="s">
        <v>465</v>
      </c>
      <c r="ES26" s="1048"/>
      <c r="ET26" s="1048"/>
      <c r="EU26" s="678"/>
      <c r="EW26" s="830" t="s">
        <v>465</v>
      </c>
      <c r="EX26" s="831"/>
      <c r="EY26" s="831"/>
      <c r="EZ26" s="678"/>
      <c r="FA26" s="830" t="s">
        <v>465</v>
      </c>
      <c r="FB26" s="831"/>
      <c r="FC26" s="831"/>
      <c r="FD26" s="678"/>
    </row>
    <row r="27" spans="1:161">
      <c r="A27" s="753" t="s">
        <v>67</v>
      </c>
      <c r="B27" s="746"/>
      <c r="C27" s="747">
        <v>100</v>
      </c>
      <c r="D27" s="746"/>
      <c r="E27" s="746"/>
      <c r="F27" s="754"/>
      <c r="G27" s="747">
        <v>100</v>
      </c>
      <c r="H27" s="746"/>
      <c r="I27" s="746"/>
      <c r="J27" s="754"/>
      <c r="K27" s="747">
        <v>100</v>
      </c>
      <c r="L27" s="746"/>
      <c r="M27" s="746"/>
      <c r="N27" s="754"/>
      <c r="O27" s="747">
        <v>100</v>
      </c>
      <c r="P27" s="746"/>
      <c r="Q27" s="746"/>
      <c r="R27" s="754"/>
      <c r="S27" s="830">
        <v>100</v>
      </c>
      <c r="T27" s="831"/>
      <c r="U27" s="831"/>
      <c r="V27" s="678"/>
      <c r="W27" s="830">
        <v>100</v>
      </c>
      <c r="X27" s="831"/>
      <c r="Y27" s="831"/>
      <c r="Z27" s="678"/>
      <c r="AA27" s="830">
        <v>100</v>
      </c>
      <c r="AB27" s="831"/>
      <c r="AC27" s="831"/>
      <c r="AD27" s="678"/>
      <c r="AE27" s="830">
        <v>100</v>
      </c>
      <c r="AF27" s="831"/>
      <c r="AG27" s="831"/>
      <c r="AH27" s="678"/>
      <c r="AI27" s="830">
        <v>100</v>
      </c>
      <c r="AJ27" s="831"/>
      <c r="AK27" s="831"/>
      <c r="AL27" s="678"/>
      <c r="AM27" s="830">
        <v>100</v>
      </c>
      <c r="AN27" s="831"/>
      <c r="AO27" s="831"/>
      <c r="AP27" s="678"/>
      <c r="AQ27" s="830">
        <v>100</v>
      </c>
      <c r="AR27" s="831"/>
      <c r="AS27" s="831"/>
      <c r="AT27" s="678"/>
      <c r="AU27" s="755">
        <v>150</v>
      </c>
      <c r="AV27" s="746"/>
      <c r="AW27" s="746"/>
      <c r="AX27" s="748"/>
      <c r="AY27" s="755">
        <v>100</v>
      </c>
      <c r="AZ27" s="746"/>
      <c r="BA27" s="746"/>
      <c r="BB27" s="748"/>
      <c r="BC27" s="755">
        <v>50</v>
      </c>
      <c r="BD27" s="746"/>
      <c r="BE27" s="746"/>
      <c r="BF27" s="748"/>
      <c r="BG27" s="755">
        <v>100</v>
      </c>
      <c r="BH27" s="746"/>
      <c r="BI27" s="746"/>
      <c r="BJ27" s="748"/>
      <c r="BK27" s="755">
        <v>150</v>
      </c>
      <c r="BL27" s="746"/>
      <c r="BM27" s="746"/>
      <c r="BN27" s="748"/>
      <c r="BO27" s="755">
        <v>50</v>
      </c>
      <c r="BP27" s="746"/>
      <c r="BQ27" s="746"/>
      <c r="BR27" s="748"/>
      <c r="BS27" s="830">
        <v>100</v>
      </c>
      <c r="BT27" s="831"/>
      <c r="BU27" s="831"/>
      <c r="BV27" s="678"/>
      <c r="BW27" s="830">
        <v>0</v>
      </c>
      <c r="BX27" s="831"/>
      <c r="BY27" s="831"/>
      <c r="BZ27" s="678"/>
      <c r="CA27" s="830">
        <v>100</v>
      </c>
      <c r="CB27" s="831"/>
      <c r="CC27" s="831"/>
      <c r="CD27" s="678"/>
      <c r="CE27" s="830">
        <v>100</v>
      </c>
      <c r="CF27" s="831"/>
      <c r="CG27" s="831"/>
      <c r="CH27" s="678"/>
      <c r="CI27" s="830">
        <v>0</v>
      </c>
      <c r="CJ27" s="831"/>
      <c r="CK27" s="831"/>
      <c r="CL27" s="678"/>
      <c r="CM27" s="1060">
        <v>0</v>
      </c>
      <c r="CN27" s="1058"/>
      <c r="CO27" s="1058"/>
      <c r="CP27" s="678"/>
      <c r="CQ27" s="1060">
        <v>0</v>
      </c>
      <c r="CR27" s="1058"/>
      <c r="CS27" s="1058"/>
      <c r="CT27" s="678"/>
      <c r="CU27" s="1060">
        <v>0</v>
      </c>
      <c r="CV27" s="1058"/>
      <c r="CW27" s="1058"/>
      <c r="CX27" s="678"/>
      <c r="CY27" s="752"/>
      <c r="DD27" s="830"/>
      <c r="DE27" s="831"/>
      <c r="DF27" s="831"/>
      <c r="DG27" s="678"/>
      <c r="DH27" s="830"/>
      <c r="DI27" s="831"/>
      <c r="DJ27" s="831"/>
      <c r="DK27" s="678"/>
      <c r="DL27" s="830"/>
      <c r="DM27" s="831"/>
      <c r="DN27" s="831"/>
      <c r="DO27" s="678"/>
      <c r="DP27" s="830"/>
      <c r="DQ27" s="831"/>
      <c r="DR27" s="831"/>
      <c r="DS27" s="678"/>
      <c r="DT27" s="830"/>
      <c r="DU27" s="831"/>
      <c r="DV27" s="831"/>
      <c r="DW27" s="678"/>
      <c r="DX27" s="830"/>
      <c r="DY27" s="831"/>
      <c r="DZ27" s="831"/>
      <c r="EA27" s="678"/>
      <c r="EB27" s="1019"/>
      <c r="EC27" s="1017"/>
      <c r="ED27" s="1017"/>
      <c r="EE27" s="678"/>
      <c r="EF27" s="1019"/>
      <c r="EG27" s="1017"/>
      <c r="EH27" s="1017"/>
      <c r="EI27" s="678"/>
      <c r="EJ27" s="1019"/>
      <c r="EK27" s="1017"/>
      <c r="EL27" s="1017"/>
      <c r="EM27" s="678"/>
      <c r="EN27" s="1019"/>
      <c r="EO27" s="1017"/>
      <c r="EP27" s="1017"/>
      <c r="EQ27" s="678"/>
      <c r="ER27" s="1050"/>
      <c r="ES27" s="1048"/>
      <c r="ET27" s="1048"/>
      <c r="EU27" s="678"/>
      <c r="EW27" s="830"/>
      <c r="EX27" s="831"/>
      <c r="EY27" s="831"/>
      <c r="EZ27" s="678"/>
      <c r="FA27" s="830"/>
      <c r="FB27" s="831"/>
      <c r="FC27" s="831"/>
      <c r="FD27" s="678"/>
    </row>
    <row r="28" spans="1:161">
      <c r="A28" s="753" t="s">
        <v>482</v>
      </c>
      <c r="B28" s="746"/>
      <c r="C28" s="801">
        <f>+L11</f>
        <v>0.17830653282031467</v>
      </c>
      <c r="D28" s="756"/>
      <c r="E28" s="756"/>
      <c r="F28" s="757"/>
      <c r="G28" s="753">
        <f>+C28</f>
        <v>0.17830653282031467</v>
      </c>
      <c r="H28" s="756"/>
      <c r="I28" s="756"/>
      <c r="J28" s="757"/>
      <c r="K28" s="753">
        <f>+G28</f>
        <v>0.17830653282031467</v>
      </c>
      <c r="L28" s="756"/>
      <c r="M28" s="756"/>
      <c r="N28" s="757"/>
      <c r="O28" s="753">
        <f>+K28</f>
        <v>0.17830653282031467</v>
      </c>
      <c r="P28" s="756"/>
      <c r="Q28" s="756"/>
      <c r="R28" s="757"/>
      <c r="S28" s="753">
        <f>+O28</f>
        <v>0.17830653282031467</v>
      </c>
      <c r="T28" s="631"/>
      <c r="U28" s="631"/>
      <c r="V28" s="662"/>
      <c r="W28" s="675">
        <f>+S28</f>
        <v>0.17830653282031467</v>
      </c>
      <c r="X28" s="631"/>
      <c r="Y28" s="631"/>
      <c r="Z28" s="662"/>
      <c r="AA28" s="675">
        <f>+W28</f>
        <v>0.17830653282031467</v>
      </c>
      <c r="AB28" s="631"/>
      <c r="AC28" s="631"/>
      <c r="AD28" s="662"/>
      <c r="AE28" s="675">
        <f>+AA28</f>
        <v>0.17830653282031467</v>
      </c>
      <c r="AF28" s="631"/>
      <c r="AG28" s="631"/>
      <c r="AH28" s="662"/>
      <c r="AI28" s="675">
        <f>+AE28</f>
        <v>0.17830653282031467</v>
      </c>
      <c r="AJ28" s="631"/>
      <c r="AK28" s="631"/>
      <c r="AL28" s="662"/>
      <c r="AM28" s="675">
        <f>+AI28</f>
        <v>0.17830653282031467</v>
      </c>
      <c r="AN28" s="631"/>
      <c r="AO28" s="631"/>
      <c r="AP28" s="662"/>
      <c r="AQ28" s="675">
        <f>+AM28</f>
        <v>0.17830653282031467</v>
      </c>
      <c r="AR28" s="631"/>
      <c r="AS28" s="631"/>
      <c r="AT28" s="662"/>
      <c r="AU28" s="753">
        <f>+$I11</f>
        <v>0</v>
      </c>
      <c r="AV28" s="756"/>
      <c r="AW28" s="756"/>
      <c r="AX28" s="752"/>
      <c r="AY28" s="753">
        <f>+$I11</f>
        <v>0</v>
      </c>
      <c r="AZ28" s="756"/>
      <c r="BA28" s="756"/>
      <c r="BB28" s="752"/>
      <c r="BC28" s="753">
        <f>+$I11</f>
        <v>0</v>
      </c>
      <c r="BD28" s="756"/>
      <c r="BE28" s="756"/>
      <c r="BF28" s="752"/>
      <c r="BG28" s="755">
        <f>$I17</f>
        <v>0</v>
      </c>
      <c r="BH28" s="746"/>
      <c r="BI28" s="746"/>
      <c r="BJ28" s="748"/>
      <c r="BK28" s="755">
        <f>$I17</f>
        <v>0</v>
      </c>
      <c r="BL28" s="746"/>
      <c r="BM28" s="746"/>
      <c r="BN28" s="748"/>
      <c r="BO28" s="753">
        <f>+$I11</f>
        <v>0</v>
      </c>
      <c r="BP28" s="756"/>
      <c r="BQ28" s="756"/>
      <c r="BR28" s="752"/>
      <c r="BS28" s="675">
        <f>+AQ28</f>
        <v>0.17830653282031467</v>
      </c>
      <c r="BT28" s="631"/>
      <c r="BU28" s="631"/>
      <c r="BV28" s="662"/>
      <c r="BW28" s="758">
        <f>+BS28</f>
        <v>0.17830653282031467</v>
      </c>
      <c r="BX28" s="631"/>
      <c r="BY28" s="631"/>
      <c r="BZ28" s="662"/>
      <c r="CA28" s="758">
        <f>+BW28</f>
        <v>0.17830653282031467</v>
      </c>
      <c r="CB28" s="631"/>
      <c r="CC28" s="631"/>
      <c r="CD28" s="662"/>
      <c r="CE28" s="758">
        <f>+CA28</f>
        <v>0.17830653282031467</v>
      </c>
      <c r="CF28" s="631"/>
      <c r="CG28" s="631"/>
      <c r="CH28" s="662"/>
      <c r="CI28" s="758">
        <f>++CE28</f>
        <v>0.17830653282031467</v>
      </c>
      <c r="CJ28" s="631"/>
      <c r="CK28" s="631"/>
      <c r="CL28" s="662"/>
      <c r="CM28" s="758">
        <f>++CI28</f>
        <v>0.17830653282031467</v>
      </c>
      <c r="CN28" s="631"/>
      <c r="CO28" s="631"/>
      <c r="CP28" s="662"/>
      <c r="CQ28" s="758">
        <f>++CM28</f>
        <v>0.17830653282031467</v>
      </c>
      <c r="CR28" s="631"/>
      <c r="CS28" s="631"/>
      <c r="CT28" s="662"/>
      <c r="CU28" s="758">
        <f>++CQ28</f>
        <v>0.17830653282031467</v>
      </c>
      <c r="CV28" s="631"/>
      <c r="CW28" s="631"/>
      <c r="CX28" s="662"/>
      <c r="CY28" s="752"/>
      <c r="DD28" s="204">
        <v>0.2032664625957124</v>
      </c>
      <c r="DE28" s="631"/>
      <c r="DF28" s="631"/>
      <c r="DG28" s="662"/>
      <c r="DH28" s="758">
        <f>+DD28</f>
        <v>0.2032664625957124</v>
      </c>
      <c r="DI28" s="631"/>
      <c r="DJ28" s="631"/>
      <c r="DK28" s="662"/>
      <c r="DL28" s="758">
        <f>+DD28</f>
        <v>0.2032664625957124</v>
      </c>
      <c r="DM28" s="631"/>
      <c r="DN28" s="631"/>
      <c r="DO28" s="662"/>
      <c r="DP28" s="758">
        <f>+DL28</f>
        <v>0.2032664625957124</v>
      </c>
      <c r="DQ28" s="631"/>
      <c r="DR28" s="631"/>
      <c r="DS28" s="662"/>
      <c r="DT28" s="758">
        <f>+DD28</f>
        <v>0.2032664625957124</v>
      </c>
      <c r="DU28" s="631"/>
      <c r="DV28" s="631"/>
      <c r="DW28" s="662"/>
      <c r="DX28" s="758">
        <f>+DD28</f>
        <v>0.2032664625957124</v>
      </c>
      <c r="DY28" s="631"/>
      <c r="DZ28" s="631"/>
      <c r="EA28" s="662"/>
      <c r="EB28" s="758">
        <f>+DX28</f>
        <v>0.2032664625957124</v>
      </c>
      <c r="EC28" s="631"/>
      <c r="ED28" s="631"/>
      <c r="EE28" s="662"/>
      <c r="EF28" s="758">
        <f>+EB28</f>
        <v>0.2032664625957124</v>
      </c>
      <c r="EG28" s="631"/>
      <c r="EH28" s="631"/>
      <c r="EI28" s="662"/>
      <c r="EJ28" s="758">
        <f>+EF28</f>
        <v>0.2032664625957124</v>
      </c>
      <c r="EK28" s="631"/>
      <c r="EL28" s="631"/>
      <c r="EM28" s="662"/>
      <c r="EN28" s="758">
        <f>+EJ28</f>
        <v>0.2032664625957124</v>
      </c>
      <c r="EO28" s="631"/>
      <c r="EP28" s="631"/>
      <c r="EQ28" s="662"/>
      <c r="ER28" s="758">
        <f>+EN28</f>
        <v>0.2032664625957124</v>
      </c>
      <c r="ES28" s="631"/>
      <c r="ET28" s="631"/>
      <c r="EU28" s="662"/>
      <c r="EW28" s="830">
        <f>+$I12</f>
        <v>0</v>
      </c>
      <c r="EX28" s="464" t="s">
        <v>790</v>
      </c>
      <c r="EY28" s="631"/>
      <c r="EZ28" s="662"/>
      <c r="FA28" s="830">
        <f>+'5 - Cost Support'!G198</f>
        <v>0.1120659224833859</v>
      </c>
      <c r="FB28" s="464" t="s">
        <v>790</v>
      </c>
      <c r="FC28" s="631"/>
      <c r="FD28" s="662"/>
    </row>
    <row r="29" spans="1:161">
      <c r="A29" s="753" t="s">
        <v>470</v>
      </c>
      <c r="B29" s="746"/>
      <c r="C29" s="759">
        <f>+L12</f>
        <v>0.18626014689039538</v>
      </c>
      <c r="D29" s="760"/>
      <c r="E29" s="756"/>
      <c r="F29" s="757"/>
      <c r="G29" s="759">
        <f>+C29</f>
        <v>0.18626014689039538</v>
      </c>
      <c r="H29" s="756"/>
      <c r="I29" s="756"/>
      <c r="J29" s="757"/>
      <c r="K29" s="753">
        <f>+G29</f>
        <v>0.18626014689039538</v>
      </c>
      <c r="L29" s="756"/>
      <c r="M29" s="756"/>
      <c r="N29" s="757"/>
      <c r="O29" s="753">
        <f>+K29</f>
        <v>0.18626014689039538</v>
      </c>
      <c r="P29" s="756"/>
      <c r="Q29" s="756"/>
      <c r="R29" s="757"/>
      <c r="S29" s="759">
        <f>+O29</f>
        <v>0.18626014689039538</v>
      </c>
      <c r="T29" s="631"/>
      <c r="U29" s="631"/>
      <c r="V29" s="662"/>
      <c r="W29" s="797">
        <f>+S29</f>
        <v>0.18626014689039538</v>
      </c>
      <c r="X29" s="631"/>
      <c r="Y29" s="631"/>
      <c r="Z29" s="662"/>
      <c r="AA29" s="797">
        <f>+W29</f>
        <v>0.18626014689039538</v>
      </c>
      <c r="AB29" s="631"/>
      <c r="AC29" s="631"/>
      <c r="AD29" s="662"/>
      <c r="AE29" s="797">
        <f>+AA29</f>
        <v>0.18626014689039538</v>
      </c>
      <c r="AF29" s="631"/>
      <c r="AG29" s="631"/>
      <c r="AH29" s="662"/>
      <c r="AI29" s="797">
        <f>+AE29</f>
        <v>0.18626014689039538</v>
      </c>
      <c r="AJ29" s="631"/>
      <c r="AK29" s="631"/>
      <c r="AL29" s="662"/>
      <c r="AM29" s="797">
        <f>+AI29</f>
        <v>0.18626014689039538</v>
      </c>
      <c r="AN29" s="631"/>
      <c r="AO29" s="631"/>
      <c r="AP29" s="662"/>
      <c r="AQ29" s="797">
        <f>+AM29</f>
        <v>0.18626014689039538</v>
      </c>
      <c r="AR29" s="631"/>
      <c r="AS29" s="631"/>
      <c r="AT29" s="662"/>
      <c r="AU29" s="753">
        <f>($I11+$I13/100*AU27)</f>
        <v>0</v>
      </c>
      <c r="AV29" s="756"/>
      <c r="AW29" s="756"/>
      <c r="AX29" s="752"/>
      <c r="AY29" s="753">
        <f>($I11+$I13/100*AY27)</f>
        <v>0</v>
      </c>
      <c r="AZ29" s="756"/>
      <c r="BA29" s="756"/>
      <c r="BB29" s="752"/>
      <c r="BC29" s="753">
        <f>($I11+$I13/100*BC27)</f>
        <v>0</v>
      </c>
      <c r="BD29" s="756"/>
      <c r="BE29" s="756"/>
      <c r="BF29" s="752"/>
      <c r="BG29" s="753">
        <f>+I17</f>
        <v>0</v>
      </c>
      <c r="BH29" s="756"/>
      <c r="BI29" s="756"/>
      <c r="BJ29" s="752"/>
      <c r="BK29" s="753">
        <f>+I17</f>
        <v>0</v>
      </c>
      <c r="BL29" s="756"/>
      <c r="BM29" s="756"/>
      <c r="BN29" s="752"/>
      <c r="BO29" s="753">
        <f>($I11+$I13/100*BO27)</f>
        <v>0</v>
      </c>
      <c r="BP29" s="756"/>
      <c r="BQ29" s="756"/>
      <c r="BR29" s="752"/>
      <c r="BS29" s="797">
        <f>+AQ29</f>
        <v>0.18626014689039538</v>
      </c>
      <c r="BT29" s="631"/>
      <c r="BU29" s="631"/>
      <c r="BV29" s="662"/>
      <c r="BW29" s="798">
        <f>+BW28</f>
        <v>0.17830653282031467</v>
      </c>
      <c r="BX29" s="631"/>
      <c r="BY29" s="631"/>
      <c r="BZ29" s="662"/>
      <c r="CA29" s="798">
        <f>+BS29</f>
        <v>0.18626014689039538</v>
      </c>
      <c r="CB29" s="631"/>
      <c r="CC29" s="631"/>
      <c r="CD29" s="662"/>
      <c r="CE29" s="798">
        <f>+BS29</f>
        <v>0.18626014689039538</v>
      </c>
      <c r="CF29" s="631"/>
      <c r="CG29" s="631"/>
      <c r="CH29" s="662"/>
      <c r="CI29" s="798">
        <f>+CI28</f>
        <v>0.17830653282031467</v>
      </c>
      <c r="CJ29" s="631"/>
      <c r="CK29" s="631"/>
      <c r="CL29" s="662"/>
      <c r="CM29" s="798">
        <f>+CM28</f>
        <v>0.17830653282031467</v>
      </c>
      <c r="CN29" s="631"/>
      <c r="CO29" s="631"/>
      <c r="CP29" s="662"/>
      <c r="CQ29" s="798">
        <f>+CQ28</f>
        <v>0.17830653282031467</v>
      </c>
      <c r="CR29" s="631"/>
      <c r="CS29" s="631"/>
      <c r="CT29" s="662"/>
      <c r="CU29" s="798">
        <f>+CU28</f>
        <v>0.17830653282031467</v>
      </c>
      <c r="CV29" s="631"/>
      <c r="CW29" s="631"/>
      <c r="CX29" s="662"/>
      <c r="CY29" s="752"/>
      <c r="DD29" s="758">
        <f>+DD28</f>
        <v>0.2032664625957124</v>
      </c>
      <c r="DE29" s="631"/>
      <c r="DF29" s="631"/>
      <c r="DG29" s="662"/>
      <c r="DH29" s="758">
        <f>+DH28</f>
        <v>0.2032664625957124</v>
      </c>
      <c r="DI29" s="631"/>
      <c r="DJ29" s="631"/>
      <c r="DK29" s="662"/>
      <c r="DL29" s="758">
        <f>+DL28</f>
        <v>0.2032664625957124</v>
      </c>
      <c r="DM29" s="631"/>
      <c r="DN29" s="631"/>
      <c r="DO29" s="662"/>
      <c r="DP29" s="758">
        <f>+DP28</f>
        <v>0.2032664625957124</v>
      </c>
      <c r="DQ29" s="631"/>
      <c r="DR29" s="631"/>
      <c r="DS29" s="662"/>
      <c r="DT29" s="758">
        <f>+DT28</f>
        <v>0.2032664625957124</v>
      </c>
      <c r="DU29" s="631"/>
      <c r="DV29" s="631"/>
      <c r="DW29" s="662"/>
      <c r="DX29" s="758">
        <f>+DX28</f>
        <v>0.2032664625957124</v>
      </c>
      <c r="DY29" s="631"/>
      <c r="DZ29" s="631"/>
      <c r="EA29" s="662"/>
      <c r="EB29" s="758">
        <f>+EB28</f>
        <v>0.2032664625957124</v>
      </c>
      <c r="EC29" s="631"/>
      <c r="ED29" s="631"/>
      <c r="EE29" s="662"/>
      <c r="EF29" s="758">
        <f>+EF28</f>
        <v>0.2032664625957124</v>
      </c>
      <c r="EG29" s="631"/>
      <c r="EH29" s="631"/>
      <c r="EI29" s="662"/>
      <c r="EJ29" s="758">
        <f>+EJ28</f>
        <v>0.2032664625957124</v>
      </c>
      <c r="EK29" s="631"/>
      <c r="EL29" s="631"/>
      <c r="EM29" s="662"/>
      <c r="EN29" s="758">
        <f>+EN28</f>
        <v>0.2032664625957124</v>
      </c>
      <c r="EO29" s="631"/>
      <c r="EP29" s="631"/>
      <c r="EQ29" s="662"/>
      <c r="ER29" s="758">
        <f>+ER28</f>
        <v>0.2032664625957124</v>
      </c>
      <c r="ES29" s="631"/>
      <c r="ET29" s="631"/>
      <c r="EU29" s="662"/>
      <c r="EW29" s="830">
        <f>($I12+$I14/100*EW27)</f>
        <v>0</v>
      </c>
      <c r="EX29" s="464" t="s">
        <v>790</v>
      </c>
      <c r="EY29" s="631"/>
      <c r="EZ29" s="662"/>
      <c r="FA29" s="830">
        <f>+FA28</f>
        <v>0.1120659224833859</v>
      </c>
      <c r="FB29" s="464" t="s">
        <v>790</v>
      </c>
      <c r="FC29" s="631"/>
      <c r="FD29" s="662"/>
    </row>
    <row r="30" spans="1:161">
      <c r="A30" s="753" t="s">
        <v>472</v>
      </c>
      <c r="B30" s="746"/>
      <c r="C30" s="761">
        <v>19614847.300000001</v>
      </c>
      <c r="D30" s="762" t="s">
        <v>255</v>
      </c>
      <c r="E30" s="762"/>
      <c r="F30" s="757"/>
      <c r="G30" s="761">
        <v>5096992.9800000004</v>
      </c>
      <c r="H30" s="762"/>
      <c r="I30" s="762"/>
      <c r="J30" s="757"/>
      <c r="K30" s="761">
        <f>15481830-206959.94-1836400.57</f>
        <v>13438469.49</v>
      </c>
      <c r="L30" s="762" t="s">
        <v>255</v>
      </c>
      <c r="M30" s="762"/>
      <c r="N30" s="757"/>
      <c r="O30" s="761">
        <f>5293756-43838</f>
        <v>5249918</v>
      </c>
      <c r="P30" s="762" t="s">
        <v>255</v>
      </c>
      <c r="Q30" s="762"/>
      <c r="R30" s="757"/>
      <c r="S30" s="679">
        <f>2337635.32+213225.61+15030.11</f>
        <v>2565891.0399999996</v>
      </c>
      <c r="T30" s="680" t="s">
        <v>255</v>
      </c>
      <c r="U30" s="680"/>
      <c r="V30" s="662"/>
      <c r="W30" s="679">
        <v>30504919</v>
      </c>
      <c r="X30" s="680" t="s">
        <v>255</v>
      </c>
      <c r="Y30" s="680"/>
      <c r="Z30" s="662"/>
      <c r="AA30" s="679">
        <v>19836665</v>
      </c>
      <c r="AB30" s="680" t="s">
        <v>255</v>
      </c>
      <c r="AC30" s="680"/>
      <c r="AD30" s="662"/>
      <c r="AE30" s="679">
        <f>197869+4438</f>
        <v>202307</v>
      </c>
      <c r="AF30" s="680" t="s">
        <v>255</v>
      </c>
      <c r="AG30" s="680"/>
      <c r="AH30" s="662"/>
      <c r="AI30" s="679">
        <v>13004087</v>
      </c>
      <c r="AJ30" s="680" t="s">
        <v>255</v>
      </c>
      <c r="AK30" s="680"/>
      <c r="AL30" s="662"/>
      <c r="AM30" s="679">
        <v>4878144.29</v>
      </c>
      <c r="AN30" s="680" t="s">
        <v>255</v>
      </c>
      <c r="AO30" s="680"/>
      <c r="AP30" s="662"/>
      <c r="AQ30" s="679">
        <f>17568587.89+1253986.64+61355.08+27016015.83-6082927</f>
        <v>39817018.439999998</v>
      </c>
      <c r="AR30" s="680" t="s">
        <v>255</v>
      </c>
      <c r="AS30" s="680"/>
      <c r="AT30" s="662"/>
      <c r="AU30" s="741">
        <v>30000000</v>
      </c>
      <c r="AV30" s="762"/>
      <c r="AW30" s="762"/>
      <c r="AX30" s="757"/>
      <c r="AY30" s="741">
        <v>20000000</v>
      </c>
      <c r="AZ30" s="762"/>
      <c r="BA30" s="762"/>
      <c r="BB30" s="757"/>
      <c r="BC30" s="741">
        <v>30000000</v>
      </c>
      <c r="BD30" s="762"/>
      <c r="BE30" s="762"/>
      <c r="BF30" s="757"/>
      <c r="BG30" s="741">
        <v>20000000</v>
      </c>
      <c r="BH30" s="762"/>
      <c r="BI30" s="762"/>
      <c r="BJ30" s="757"/>
      <c r="BK30" s="741">
        <v>30000000</v>
      </c>
      <c r="BL30" s="762"/>
      <c r="BM30" s="762"/>
      <c r="BN30" s="757"/>
      <c r="BO30" s="741">
        <v>20000000</v>
      </c>
      <c r="BP30" s="762"/>
      <c r="BQ30" s="762"/>
      <c r="BR30" s="757"/>
      <c r="BS30" s="679">
        <v>365679</v>
      </c>
      <c r="BT30" s="680" t="s">
        <v>255</v>
      </c>
      <c r="BU30" s="680"/>
      <c r="BV30" s="662"/>
      <c r="BW30" s="763">
        <v>25381014</v>
      </c>
      <c r="BX30" s="680" t="s">
        <v>255</v>
      </c>
      <c r="BY30" s="680"/>
      <c r="BZ30" s="662"/>
      <c r="CA30" s="763">
        <v>2395092.48</v>
      </c>
      <c r="CB30" s="680" t="s">
        <v>255</v>
      </c>
      <c r="CC30" s="680"/>
      <c r="CD30" s="662"/>
      <c r="CE30" s="994">
        <v>207901.28</v>
      </c>
      <c r="CF30" s="680" t="s">
        <v>255</v>
      </c>
      <c r="CG30" s="680"/>
      <c r="CH30" s="662"/>
      <c r="CI30" s="763">
        <v>543960</v>
      </c>
      <c r="CJ30" s="680" t="s">
        <v>255</v>
      </c>
      <c r="CK30" s="680"/>
      <c r="CL30" s="662"/>
      <c r="CM30" s="924">
        <f>14427496.55+6854936</f>
        <v>21282432.550000001</v>
      </c>
      <c r="CN30" s="680" t="s">
        <v>255</v>
      </c>
      <c r="CO30" s="680"/>
      <c r="CP30" s="662"/>
      <c r="CQ30" s="924">
        <f>56618128.87+32162253.56</f>
        <v>88780382.429999992</v>
      </c>
      <c r="CR30" s="680" t="s">
        <v>255</v>
      </c>
      <c r="CS30" s="680"/>
      <c r="CT30" s="662"/>
      <c r="CU30" s="924">
        <v>29752596.390000001</v>
      </c>
      <c r="CV30" s="680" t="s">
        <v>255</v>
      </c>
      <c r="CW30" s="680"/>
      <c r="CX30" s="662"/>
      <c r="CY30" s="752"/>
      <c r="DD30" s="679">
        <v>12707126</v>
      </c>
      <c r="DE30" s="680" t="s">
        <v>255</v>
      </c>
      <c r="DF30" s="680"/>
      <c r="DG30" s="662"/>
      <c r="DH30" s="679">
        <v>8944044</v>
      </c>
      <c r="DI30" s="680" t="s">
        <v>255</v>
      </c>
      <c r="DJ30" s="680"/>
      <c r="DK30" s="662"/>
      <c r="DL30" s="679">
        <v>1404585.91</v>
      </c>
      <c r="DM30" s="680" t="s">
        <v>255</v>
      </c>
      <c r="DN30" s="680"/>
      <c r="DO30" s="662"/>
      <c r="DP30" s="679">
        <v>169603</v>
      </c>
      <c r="DQ30" s="680" t="s">
        <v>255</v>
      </c>
      <c r="DR30" s="680"/>
      <c r="DS30" s="662"/>
      <c r="DT30" s="679">
        <v>12537.86</v>
      </c>
      <c r="DU30" s="680" t="s">
        <v>255</v>
      </c>
      <c r="DV30" s="680"/>
      <c r="DW30" s="662"/>
      <c r="DX30" s="679">
        <v>40332599.799999997</v>
      </c>
      <c r="DY30" s="680" t="s">
        <v>255</v>
      </c>
      <c r="DZ30" s="680"/>
      <c r="EA30" s="662"/>
      <c r="EB30" s="679">
        <v>530533.42000000004</v>
      </c>
      <c r="EC30" s="680" t="s">
        <v>255</v>
      </c>
      <c r="ED30" s="680"/>
      <c r="EE30" s="662"/>
      <c r="EF30" s="679">
        <v>-539066.93999999971</v>
      </c>
      <c r="EG30" s="680" t="s">
        <v>255</v>
      </c>
      <c r="EH30" s="680"/>
      <c r="EI30" s="662"/>
      <c r="EJ30" s="679">
        <v>33275227.509999998</v>
      </c>
      <c r="EK30" s="680" t="s">
        <v>255</v>
      </c>
      <c r="EL30" s="680"/>
      <c r="EM30" s="662"/>
      <c r="EN30" s="679">
        <v>497855.79</v>
      </c>
      <c r="EO30" s="680" t="s">
        <v>255</v>
      </c>
      <c r="EP30" s="680"/>
      <c r="EQ30" s="662"/>
      <c r="ER30" s="679">
        <v>1756061.9100000001</v>
      </c>
      <c r="ES30" s="680" t="s">
        <v>255</v>
      </c>
      <c r="ET30" s="680"/>
      <c r="EU30" s="662"/>
      <c r="EW30" s="679">
        <v>0</v>
      </c>
      <c r="EX30" s="680"/>
      <c r="EY30" s="680"/>
      <c r="EZ30" s="662"/>
      <c r="FA30" s="679">
        <f>+'5 - Cost Support'!G191</f>
        <v>1159350.1399999999</v>
      </c>
      <c r="FB30" s="680"/>
      <c r="FC30" s="680"/>
      <c r="FD30" s="662"/>
    </row>
    <row r="31" spans="1:161">
      <c r="A31" s="753" t="s">
        <v>473</v>
      </c>
      <c r="B31" s="746"/>
      <c r="C31" s="741">
        <f>IF(C30=0,0,C30/C25)</f>
        <v>445791.98409090913</v>
      </c>
      <c r="D31" s="762"/>
      <c r="E31" s="762"/>
      <c r="F31" s="757"/>
      <c r="G31" s="741">
        <f>IF(G30=0,0,G30/G25)</f>
        <v>115840.74954545456</v>
      </c>
      <c r="H31" s="762"/>
      <c r="I31" s="762"/>
      <c r="J31" s="757"/>
      <c r="K31" s="741">
        <f>IF(K30=0,0,K30/K25)</f>
        <v>305419.76113636367</v>
      </c>
      <c r="L31" s="762"/>
      <c r="M31" s="762"/>
      <c r="N31" s="757"/>
      <c r="O31" s="741">
        <f>IF(O30=0,0,O30/O25)</f>
        <v>119316.31818181818</v>
      </c>
      <c r="P31" s="762"/>
      <c r="Q31" s="762"/>
      <c r="R31" s="757"/>
      <c r="S31" s="679">
        <f>IF(S30=0,0,S30/S25)</f>
        <v>58315.705454545445</v>
      </c>
      <c r="T31" s="680"/>
      <c r="U31" s="680"/>
      <c r="V31" s="662"/>
      <c r="W31" s="679">
        <f>IF(W30=0,0,W30/W25)</f>
        <v>693293.61363636365</v>
      </c>
      <c r="X31" s="680"/>
      <c r="Y31" s="680"/>
      <c r="Z31" s="662"/>
      <c r="AA31" s="679">
        <f>IF(AA30=0,0,AA30/AA25)</f>
        <v>450833.29545454547</v>
      </c>
      <c r="AB31" s="680"/>
      <c r="AC31" s="680"/>
      <c r="AD31" s="662"/>
      <c r="AE31" s="679">
        <f>IF(AE30=0,0,AE30/AE25)</f>
        <v>4597.886363636364</v>
      </c>
      <c r="AF31" s="680"/>
      <c r="AG31" s="680"/>
      <c r="AH31" s="662"/>
      <c r="AI31" s="679">
        <f>IF(AI30=0,0,AI30/AI25)</f>
        <v>295547.43181818182</v>
      </c>
      <c r="AJ31" s="680"/>
      <c r="AK31" s="680"/>
      <c r="AL31" s="662"/>
      <c r="AM31" s="679">
        <f>IF(AM30=0,0,AM30/AM25)</f>
        <v>110866.91568181818</v>
      </c>
      <c r="AN31" s="680"/>
      <c r="AO31" s="680"/>
      <c r="AP31" s="662"/>
      <c r="AQ31" s="679">
        <f>IF(AQ30=0,0,AQ30/AQ25)</f>
        <v>904932.23727272719</v>
      </c>
      <c r="AR31" s="680"/>
      <c r="AS31" s="680"/>
      <c r="AT31" s="662"/>
      <c r="AU31" s="741">
        <f>+AU30/AU25</f>
        <v>750000</v>
      </c>
      <c r="AV31" s="762"/>
      <c r="AW31" s="762"/>
      <c r="AX31" s="757"/>
      <c r="AY31" s="741">
        <f>+AY30/AY25</f>
        <v>500000</v>
      </c>
      <c r="AZ31" s="762"/>
      <c r="BA31" s="762"/>
      <c r="BB31" s="757"/>
      <c r="BC31" s="741">
        <f>+BC30/BC25</f>
        <v>750000</v>
      </c>
      <c r="BD31" s="762"/>
      <c r="BE31" s="762"/>
      <c r="BF31" s="757"/>
      <c r="BG31" s="741">
        <f>+BG30/BG25</f>
        <v>571428.57142857148</v>
      </c>
      <c r="BH31" s="762"/>
      <c r="BI31" s="762"/>
      <c r="BJ31" s="757"/>
      <c r="BK31" s="741">
        <f>+BK30/BK25</f>
        <v>1200000</v>
      </c>
      <c r="BL31" s="762"/>
      <c r="BM31" s="762"/>
      <c r="BN31" s="757"/>
      <c r="BO31" s="741">
        <f>+BO30/BO25</f>
        <v>666666.66666666663</v>
      </c>
      <c r="BP31" s="762"/>
      <c r="BQ31" s="762"/>
      <c r="BR31" s="757"/>
      <c r="BS31" s="679">
        <f>IF(BS30=0,0,BS30/BS25)</f>
        <v>8310.886363636364</v>
      </c>
      <c r="BT31" s="680"/>
      <c r="BU31" s="680"/>
      <c r="BV31" s="662"/>
      <c r="BW31" s="679">
        <f>IF(BW30=0,0,BW30/BW25)</f>
        <v>576841.22727272729</v>
      </c>
      <c r="BX31" s="680"/>
      <c r="BY31" s="680"/>
      <c r="BZ31" s="662"/>
      <c r="CA31" s="679">
        <f>IF(CA30=0,0,CA30/CA25)</f>
        <v>54433.919999999998</v>
      </c>
      <c r="CB31" s="680"/>
      <c r="CC31" s="680"/>
      <c r="CD31" s="662"/>
      <c r="CE31" s="679">
        <f>IF(CE30=0,0,CE30/CE25)</f>
        <v>4725.0290909090909</v>
      </c>
      <c r="CF31" s="680"/>
      <c r="CG31" s="680"/>
      <c r="CH31" s="662"/>
      <c r="CI31" s="679">
        <f>IF(CI30=0,0,CI30/CI25)</f>
        <v>12362.727272727272</v>
      </c>
      <c r="CJ31" s="680"/>
      <c r="CK31" s="680"/>
      <c r="CL31" s="662"/>
      <c r="CM31" s="679">
        <f>IF(CM30=0,0,CM30/CM25)</f>
        <v>483691.64886363636</v>
      </c>
      <c r="CN31" s="680"/>
      <c r="CO31" s="680"/>
      <c r="CP31" s="662"/>
      <c r="CQ31" s="679">
        <f>IF(CQ30=0,0,CQ30/CQ25)</f>
        <v>2017735.9643181816</v>
      </c>
      <c r="CR31" s="680"/>
      <c r="CS31" s="680"/>
      <c r="CT31" s="662"/>
      <c r="CU31" s="679">
        <f>IF(CU30=0,0,CU30/CU25)</f>
        <v>676195.37250000006</v>
      </c>
      <c r="CV31" s="680"/>
      <c r="CW31" s="680"/>
      <c r="CX31" s="662"/>
      <c r="CY31" s="752"/>
      <c r="DD31" s="679">
        <f>IF(DD30=0,0,DD30/DD25)</f>
        <v>1270712.6000000001</v>
      </c>
      <c r="DE31" s="680"/>
      <c r="DF31" s="680"/>
      <c r="DG31" s="662"/>
      <c r="DH31" s="679">
        <f>IF(DH30=0,0,DH30/DH25)</f>
        <v>894404.4</v>
      </c>
      <c r="DI31" s="680"/>
      <c r="DJ31" s="680"/>
      <c r="DK31" s="662"/>
      <c r="DL31" s="679">
        <f>IF(DL30=0,0,DL30/DL25)</f>
        <v>140458.59099999999</v>
      </c>
      <c r="DM31" s="680"/>
      <c r="DN31" s="680"/>
      <c r="DO31" s="662"/>
      <c r="DP31" s="679">
        <f>IF(DP30=0,0,DP30/DP25)</f>
        <v>16960.3</v>
      </c>
      <c r="DQ31" s="680"/>
      <c r="DR31" s="680"/>
      <c r="DS31" s="662"/>
      <c r="DT31" s="679">
        <f>IF(DT30=0,0,DT30/DT25)</f>
        <v>1253.7860000000001</v>
      </c>
      <c r="DU31" s="680"/>
      <c r="DV31" s="680"/>
      <c r="DW31" s="662"/>
      <c r="DX31" s="679">
        <f>IF(DX30=0,0,DX30/DX25)</f>
        <v>4033259.9799999995</v>
      </c>
      <c r="DY31" s="680"/>
      <c r="DZ31" s="680"/>
      <c r="EA31" s="662"/>
      <c r="EB31" s="679">
        <f>IF(EB30=0,0,EB30/EB25)</f>
        <v>53053.342000000004</v>
      </c>
      <c r="EC31" s="680"/>
      <c r="ED31" s="680"/>
      <c r="EE31" s="662"/>
      <c r="EF31" s="679">
        <f>IF(EF30=0,0,EF30/EF25)</f>
        <v>-53906.693999999974</v>
      </c>
      <c r="EG31" s="680"/>
      <c r="EH31" s="680"/>
      <c r="EI31" s="662"/>
      <c r="EJ31" s="679">
        <f>IF(EJ30=0,0,EJ30/EJ25)</f>
        <v>3327522.7509999997</v>
      </c>
      <c r="EK31" s="680"/>
      <c r="EL31" s="680"/>
      <c r="EM31" s="662"/>
      <c r="EN31" s="679">
        <f>IF(EN30=0,0,EN30/EN25)</f>
        <v>49785.578999999998</v>
      </c>
      <c r="EO31" s="680"/>
      <c r="EP31" s="680"/>
      <c r="EQ31" s="662"/>
      <c r="ER31" s="679">
        <f>IF(ER30=0,0,ER30/ER25)</f>
        <v>175606.19100000002</v>
      </c>
      <c r="ES31" s="680"/>
      <c r="ET31" s="680"/>
      <c r="EU31" s="662"/>
      <c r="EW31" s="679">
        <f>IF(EW30=0,0,EW30/EW25)</f>
        <v>0</v>
      </c>
      <c r="EX31" s="680"/>
      <c r="EY31" s="680"/>
      <c r="EZ31" s="662"/>
      <c r="FA31" s="679">
        <f>IF(FA30=0,0,FA30/FA25)</f>
        <v>1159350.1399999999</v>
      </c>
      <c r="FB31" s="680"/>
      <c r="FC31" s="680"/>
      <c r="FD31" s="662"/>
      <c r="FE31" s="780"/>
    </row>
    <row r="32" spans="1:161" s="645" customFormat="1">
      <c r="A32" s="675" t="s">
        <v>577</v>
      </c>
      <c r="B32" s="831"/>
      <c r="C32" s="761">
        <v>9</v>
      </c>
      <c r="D32" s="762" t="s">
        <v>255</v>
      </c>
      <c r="E32" s="680"/>
      <c r="F32" s="662"/>
      <c r="G32" s="761">
        <v>6</v>
      </c>
      <c r="H32" s="680"/>
      <c r="I32" s="680"/>
      <c r="J32" s="662"/>
      <c r="K32" s="761">
        <v>9</v>
      </c>
      <c r="L32" s="762" t="s">
        <v>255</v>
      </c>
      <c r="M32" s="680"/>
      <c r="N32" s="662"/>
      <c r="O32" s="761">
        <v>10</v>
      </c>
      <c r="P32" s="762" t="s">
        <v>255</v>
      </c>
      <c r="Q32" s="680"/>
      <c r="R32" s="662"/>
      <c r="S32" s="679">
        <v>2</v>
      </c>
      <c r="T32" s="680" t="s">
        <v>255</v>
      </c>
      <c r="U32" s="680"/>
      <c r="V32" s="662"/>
      <c r="W32" s="679">
        <v>10</v>
      </c>
      <c r="X32" s="680" t="s">
        <v>255</v>
      </c>
      <c r="Y32" s="680"/>
      <c r="Z32" s="662"/>
      <c r="AA32" s="679">
        <v>11</v>
      </c>
      <c r="AB32" s="680" t="s">
        <v>255</v>
      </c>
      <c r="AC32" s="680"/>
      <c r="AD32" s="662"/>
      <c r="AE32" s="679">
        <v>6</v>
      </c>
      <c r="AF32" s="680" t="s">
        <v>255</v>
      </c>
      <c r="AG32" s="680"/>
      <c r="AH32" s="662"/>
      <c r="AI32" s="679">
        <v>10</v>
      </c>
      <c r="AJ32" s="680" t="s">
        <v>255</v>
      </c>
      <c r="AK32" s="680"/>
      <c r="AL32" s="662"/>
      <c r="AM32" s="679">
        <v>6</v>
      </c>
      <c r="AN32" s="680" t="s">
        <v>255</v>
      </c>
      <c r="AO32" s="680"/>
      <c r="AP32" s="662"/>
      <c r="AQ32" s="679">
        <v>9</v>
      </c>
      <c r="AR32" s="680" t="s">
        <v>255</v>
      </c>
      <c r="AS32" s="680"/>
      <c r="AT32" s="662"/>
      <c r="AU32" s="679">
        <v>10</v>
      </c>
      <c r="AV32" s="680"/>
      <c r="AW32" s="680"/>
      <c r="AX32" s="662"/>
      <c r="AY32" s="679">
        <v>2</v>
      </c>
      <c r="AZ32" s="680"/>
      <c r="BA32" s="680"/>
      <c r="BB32" s="662"/>
      <c r="BC32" s="679">
        <v>4</v>
      </c>
      <c r="BD32" s="680"/>
      <c r="BE32" s="680"/>
      <c r="BF32" s="662"/>
      <c r="BG32" s="679">
        <v>11</v>
      </c>
      <c r="BH32" s="680"/>
      <c r="BI32" s="680"/>
      <c r="BJ32" s="662"/>
      <c r="BK32" s="679">
        <v>8</v>
      </c>
      <c r="BL32" s="680"/>
      <c r="BM32" s="680"/>
      <c r="BN32" s="662"/>
      <c r="BO32" s="679">
        <v>9</v>
      </c>
      <c r="BP32" s="680"/>
      <c r="BQ32" s="680"/>
      <c r="BR32" s="662"/>
      <c r="BS32" s="679">
        <v>12</v>
      </c>
      <c r="BT32" s="680" t="s">
        <v>255</v>
      </c>
      <c r="BU32" s="680"/>
      <c r="BV32" s="662"/>
      <c r="BW32" s="679">
        <v>6</v>
      </c>
      <c r="BX32" s="680" t="s">
        <v>255</v>
      </c>
      <c r="BY32" s="680"/>
      <c r="BZ32" s="662"/>
      <c r="CA32" s="679">
        <v>7</v>
      </c>
      <c r="CB32" s="680" t="s">
        <v>255</v>
      </c>
      <c r="CC32" s="680"/>
      <c r="CD32" s="662"/>
      <c r="CE32" s="679">
        <v>3</v>
      </c>
      <c r="CF32" s="680" t="s">
        <v>255</v>
      </c>
      <c r="CG32" s="680"/>
      <c r="CH32" s="662"/>
      <c r="CI32" s="679">
        <v>2</v>
      </c>
      <c r="CJ32" s="680" t="s">
        <v>255</v>
      </c>
      <c r="CK32" s="680"/>
      <c r="CL32" s="662"/>
      <c r="CM32" s="679">
        <v>9</v>
      </c>
      <c r="CN32" s="680" t="s">
        <v>255</v>
      </c>
      <c r="CO32" s="680"/>
      <c r="CP32" s="662"/>
      <c r="CQ32" s="679">
        <v>9</v>
      </c>
      <c r="CR32" s="680" t="s">
        <v>255</v>
      </c>
      <c r="CS32" s="680"/>
      <c r="CT32" s="662"/>
      <c r="CU32" s="679">
        <v>12</v>
      </c>
      <c r="CV32" s="680" t="s">
        <v>255</v>
      </c>
      <c r="CW32" s="680"/>
      <c r="CX32" s="662"/>
      <c r="CY32" s="764"/>
      <c r="DD32" s="679">
        <v>2</v>
      </c>
      <c r="DE32" s="680" t="s">
        <v>255</v>
      </c>
      <c r="DF32" s="680"/>
      <c r="DG32" s="662"/>
      <c r="DH32" s="679">
        <v>12</v>
      </c>
      <c r="DI32" s="680" t="s">
        <v>255</v>
      </c>
      <c r="DJ32" s="680"/>
      <c r="DK32" s="662"/>
      <c r="DL32" s="679">
        <v>11</v>
      </c>
      <c r="DM32" s="680" t="s">
        <v>255</v>
      </c>
      <c r="DN32" s="680"/>
      <c r="DO32" s="662"/>
      <c r="DP32" s="679">
        <v>12</v>
      </c>
      <c r="DQ32" s="680" t="s">
        <v>255</v>
      </c>
      <c r="DR32" s="680"/>
      <c r="DS32" s="662"/>
      <c r="DT32" s="679">
        <v>2</v>
      </c>
      <c r="DU32" s="680" t="s">
        <v>255</v>
      </c>
      <c r="DV32" s="680"/>
      <c r="DW32" s="662"/>
      <c r="DX32" s="679">
        <v>3</v>
      </c>
      <c r="DY32" s="680" t="s">
        <v>255</v>
      </c>
      <c r="DZ32" s="680"/>
      <c r="EA32" s="662"/>
      <c r="EB32" s="679">
        <v>7</v>
      </c>
      <c r="EC32" s="680" t="s">
        <v>255</v>
      </c>
      <c r="ED32" s="680"/>
      <c r="EE32" s="662"/>
      <c r="EF32" s="679">
        <v>7</v>
      </c>
      <c r="EG32" s="680" t="s">
        <v>255</v>
      </c>
      <c r="EH32" s="680"/>
      <c r="EI32" s="662"/>
      <c r="EJ32" s="679">
        <v>10</v>
      </c>
      <c r="EK32" s="680" t="s">
        <v>255</v>
      </c>
      <c r="EL32" s="680"/>
      <c r="EM32" s="662"/>
      <c r="EN32" s="679">
        <v>11</v>
      </c>
      <c r="EO32" s="680" t="s">
        <v>255</v>
      </c>
      <c r="EP32" s="680"/>
      <c r="EQ32" s="662"/>
      <c r="ER32" s="679">
        <v>6</v>
      </c>
      <c r="ES32" s="680" t="s">
        <v>255</v>
      </c>
      <c r="ET32" s="680"/>
      <c r="EU32" s="662"/>
      <c r="EW32" s="679"/>
      <c r="EX32" s="680"/>
      <c r="EY32" s="680"/>
      <c r="EZ32" s="662"/>
      <c r="FA32" s="679">
        <v>0</v>
      </c>
      <c r="FB32" s="680"/>
      <c r="FC32" s="680"/>
      <c r="FD32" s="662"/>
    </row>
    <row r="33" spans="1:161" ht="13.5" thickBot="1">
      <c r="A33" s="765"/>
      <c r="B33" s="766"/>
      <c r="C33" s="767"/>
      <c r="D33" s="768"/>
      <c r="E33" s="768"/>
      <c r="F33" s="769"/>
      <c r="G33" s="767"/>
      <c r="H33" s="768"/>
      <c r="I33" s="768"/>
      <c r="J33" s="769"/>
      <c r="K33" s="767"/>
      <c r="L33" s="768"/>
      <c r="M33" s="768"/>
      <c r="N33" s="769"/>
      <c r="O33" s="767"/>
      <c r="P33" s="768"/>
      <c r="Q33" s="768"/>
      <c r="R33" s="769"/>
      <c r="S33" s="681"/>
      <c r="T33" s="682"/>
      <c r="U33" s="682"/>
      <c r="V33" s="683"/>
      <c r="W33" s="681"/>
      <c r="X33" s="682"/>
      <c r="Y33" s="682"/>
      <c r="Z33" s="683"/>
      <c r="AA33" s="681"/>
      <c r="AB33" s="682"/>
      <c r="AC33" s="682"/>
      <c r="AD33" s="683"/>
      <c r="AE33" s="681"/>
      <c r="AF33" s="682"/>
      <c r="AG33" s="682"/>
      <c r="AH33" s="683"/>
      <c r="AI33" s="681"/>
      <c r="AJ33" s="682"/>
      <c r="AK33" s="682"/>
      <c r="AL33" s="683"/>
      <c r="AM33" s="681"/>
      <c r="AN33" s="682"/>
      <c r="AO33" s="682"/>
      <c r="AP33" s="683"/>
      <c r="AQ33" s="681"/>
      <c r="AR33" s="682"/>
      <c r="AS33" s="682"/>
      <c r="AT33" s="683"/>
      <c r="AU33" s="767"/>
      <c r="AV33" s="768"/>
      <c r="AW33" s="768"/>
      <c r="AX33" s="769"/>
      <c r="AY33" s="767"/>
      <c r="AZ33" s="768"/>
      <c r="BA33" s="768"/>
      <c r="BB33" s="769"/>
      <c r="BC33" s="767"/>
      <c r="BD33" s="768"/>
      <c r="BE33" s="768"/>
      <c r="BF33" s="769"/>
      <c r="BG33" s="767"/>
      <c r="BH33" s="768"/>
      <c r="BI33" s="768"/>
      <c r="BJ33" s="769"/>
      <c r="BK33" s="767"/>
      <c r="BL33" s="768"/>
      <c r="BM33" s="768"/>
      <c r="BN33" s="769"/>
      <c r="BO33" s="767"/>
      <c r="BP33" s="768"/>
      <c r="BQ33" s="768"/>
      <c r="BR33" s="769"/>
      <c r="BS33" s="681"/>
      <c r="BT33" s="682"/>
      <c r="BU33" s="682"/>
      <c r="BV33" s="683"/>
      <c r="BW33" s="681"/>
      <c r="BX33" s="682"/>
      <c r="BY33" s="682"/>
      <c r="BZ33" s="683"/>
      <c r="CA33" s="681"/>
      <c r="CB33" s="682"/>
      <c r="CC33" s="682"/>
      <c r="CD33" s="683"/>
      <c r="CE33" s="681"/>
      <c r="CF33" s="682"/>
      <c r="CG33" s="682"/>
      <c r="CH33" s="683"/>
      <c r="CI33" s="681"/>
      <c r="CJ33" s="682"/>
      <c r="CK33" s="682"/>
      <c r="CL33" s="683"/>
      <c r="CM33" s="681"/>
      <c r="CN33" s="682"/>
      <c r="CO33" s="682"/>
      <c r="CP33" s="683"/>
      <c r="CQ33" s="681"/>
      <c r="CR33" s="682"/>
      <c r="CS33" s="682"/>
      <c r="CT33" s="683"/>
      <c r="CU33" s="681"/>
      <c r="CV33" s="682"/>
      <c r="CW33" s="682"/>
      <c r="CX33" s="683"/>
      <c r="CY33" s="770"/>
      <c r="DD33" s="681"/>
      <c r="DE33" s="682"/>
      <c r="DF33" s="682"/>
      <c r="DG33" s="683"/>
      <c r="DH33" s="681"/>
      <c r="DI33" s="682"/>
      <c r="DJ33" s="682"/>
      <c r="DK33" s="683"/>
      <c r="DL33" s="681"/>
      <c r="DM33" s="682"/>
      <c r="DN33" s="682"/>
      <c r="DO33" s="683"/>
      <c r="DP33" s="681"/>
      <c r="DQ33" s="682"/>
      <c r="DR33" s="682"/>
      <c r="DS33" s="683"/>
      <c r="DT33" s="681"/>
      <c r="DU33" s="682"/>
      <c r="DV33" s="682"/>
      <c r="DW33" s="683"/>
      <c r="DX33" s="681"/>
      <c r="DY33" s="682"/>
      <c r="DZ33" s="682"/>
      <c r="EA33" s="683"/>
      <c r="EB33" s="681"/>
      <c r="EC33" s="682"/>
      <c r="ED33" s="682"/>
      <c r="EE33" s="683"/>
      <c r="EF33" s="681"/>
      <c r="EG33" s="682"/>
      <c r="EH33" s="682"/>
      <c r="EI33" s="683"/>
      <c r="EJ33" s="681"/>
      <c r="EK33" s="682"/>
      <c r="EL33" s="682"/>
      <c r="EM33" s="683"/>
      <c r="EN33" s="681"/>
      <c r="EO33" s="682"/>
      <c r="EP33" s="682"/>
      <c r="EQ33" s="683"/>
      <c r="ER33" s="681"/>
      <c r="ES33" s="682"/>
      <c r="ET33" s="682"/>
      <c r="EU33" s="683"/>
      <c r="EW33" s="681"/>
      <c r="EX33" s="682"/>
      <c r="EY33" s="682"/>
      <c r="EZ33" s="683"/>
      <c r="FA33" s="681"/>
      <c r="FB33" s="682"/>
      <c r="FC33" s="682"/>
      <c r="FD33" s="683"/>
    </row>
    <row r="34" spans="1:161">
      <c r="A34" s="742"/>
      <c r="B34" s="771" t="s">
        <v>463</v>
      </c>
      <c r="C34" s="743" t="s">
        <v>484</v>
      </c>
      <c r="D34" s="743" t="s">
        <v>973</v>
      </c>
      <c r="E34" s="743" t="s">
        <v>486</v>
      </c>
      <c r="F34" s="772" t="s">
        <v>483</v>
      </c>
      <c r="G34" s="743" t="s">
        <v>484</v>
      </c>
      <c r="H34" s="743" t="s">
        <v>973</v>
      </c>
      <c r="I34" s="743" t="s">
        <v>486</v>
      </c>
      <c r="J34" s="744" t="s">
        <v>483</v>
      </c>
      <c r="K34" s="743" t="s">
        <v>484</v>
      </c>
      <c r="L34" s="743" t="s">
        <v>973</v>
      </c>
      <c r="M34" s="743" t="s">
        <v>486</v>
      </c>
      <c r="N34" s="744" t="s">
        <v>483</v>
      </c>
      <c r="O34" s="833" t="s">
        <v>484</v>
      </c>
      <c r="P34" s="743" t="s">
        <v>973</v>
      </c>
      <c r="Q34" s="743" t="s">
        <v>486</v>
      </c>
      <c r="R34" s="744" t="s">
        <v>483</v>
      </c>
      <c r="S34" s="835" t="s">
        <v>484</v>
      </c>
      <c r="T34" s="743" t="s">
        <v>973</v>
      </c>
      <c r="U34" s="677" t="s">
        <v>486</v>
      </c>
      <c r="V34" s="684" t="s">
        <v>483</v>
      </c>
      <c r="W34" s="835" t="s">
        <v>484</v>
      </c>
      <c r="X34" s="743" t="s">
        <v>973</v>
      </c>
      <c r="Y34" s="677" t="s">
        <v>486</v>
      </c>
      <c r="Z34" s="684" t="s">
        <v>483</v>
      </c>
      <c r="AA34" s="835" t="s">
        <v>484</v>
      </c>
      <c r="AB34" s="743" t="s">
        <v>973</v>
      </c>
      <c r="AC34" s="677" t="s">
        <v>486</v>
      </c>
      <c r="AD34" s="684" t="s">
        <v>483</v>
      </c>
      <c r="AE34" s="835" t="s">
        <v>484</v>
      </c>
      <c r="AF34" s="743" t="s">
        <v>973</v>
      </c>
      <c r="AG34" s="677" t="s">
        <v>486</v>
      </c>
      <c r="AH34" s="684" t="s">
        <v>483</v>
      </c>
      <c r="AI34" s="835" t="s">
        <v>484</v>
      </c>
      <c r="AJ34" s="743" t="s">
        <v>973</v>
      </c>
      <c r="AK34" s="677" t="s">
        <v>486</v>
      </c>
      <c r="AL34" s="684" t="s">
        <v>483</v>
      </c>
      <c r="AM34" s="835" t="s">
        <v>484</v>
      </c>
      <c r="AN34" s="743" t="s">
        <v>973</v>
      </c>
      <c r="AO34" s="677" t="s">
        <v>486</v>
      </c>
      <c r="AP34" s="684" t="s">
        <v>483</v>
      </c>
      <c r="AQ34" s="835" t="s">
        <v>484</v>
      </c>
      <c r="AR34" s="743" t="s">
        <v>973</v>
      </c>
      <c r="AS34" s="677" t="s">
        <v>486</v>
      </c>
      <c r="AT34" s="684" t="s">
        <v>483</v>
      </c>
      <c r="AU34" s="833" t="s">
        <v>484</v>
      </c>
      <c r="AV34" s="743" t="s">
        <v>485</v>
      </c>
      <c r="AW34" s="743" t="s">
        <v>486</v>
      </c>
      <c r="AX34" s="744" t="s">
        <v>483</v>
      </c>
      <c r="AY34" s="833" t="s">
        <v>484</v>
      </c>
      <c r="AZ34" s="743" t="s">
        <v>485</v>
      </c>
      <c r="BA34" s="743" t="s">
        <v>486</v>
      </c>
      <c r="BB34" s="744" t="s">
        <v>483</v>
      </c>
      <c r="BC34" s="833" t="s">
        <v>484</v>
      </c>
      <c r="BD34" s="743" t="s">
        <v>485</v>
      </c>
      <c r="BE34" s="743" t="s">
        <v>486</v>
      </c>
      <c r="BF34" s="744" t="s">
        <v>483</v>
      </c>
      <c r="BG34" s="833" t="s">
        <v>484</v>
      </c>
      <c r="BH34" s="743" t="s">
        <v>485</v>
      </c>
      <c r="BI34" s="743" t="s">
        <v>486</v>
      </c>
      <c r="BJ34" s="744" t="s">
        <v>483</v>
      </c>
      <c r="BK34" s="833" t="s">
        <v>484</v>
      </c>
      <c r="BL34" s="743" t="s">
        <v>485</v>
      </c>
      <c r="BM34" s="743" t="s">
        <v>486</v>
      </c>
      <c r="BN34" s="744" t="s">
        <v>483</v>
      </c>
      <c r="BO34" s="833" t="s">
        <v>484</v>
      </c>
      <c r="BP34" s="743" t="s">
        <v>485</v>
      </c>
      <c r="BQ34" s="743" t="s">
        <v>486</v>
      </c>
      <c r="BR34" s="744" t="s">
        <v>483</v>
      </c>
      <c r="BS34" s="835" t="s">
        <v>484</v>
      </c>
      <c r="BT34" s="743" t="s">
        <v>973</v>
      </c>
      <c r="BU34" s="677" t="s">
        <v>486</v>
      </c>
      <c r="BV34" s="684" t="s">
        <v>483</v>
      </c>
      <c r="BW34" s="835" t="s">
        <v>484</v>
      </c>
      <c r="BX34" s="743" t="s">
        <v>973</v>
      </c>
      <c r="BY34" s="677" t="s">
        <v>486</v>
      </c>
      <c r="BZ34" s="684" t="s">
        <v>483</v>
      </c>
      <c r="CA34" s="835" t="s">
        <v>484</v>
      </c>
      <c r="CB34" s="743" t="s">
        <v>973</v>
      </c>
      <c r="CC34" s="677" t="s">
        <v>486</v>
      </c>
      <c r="CD34" s="684" t="s">
        <v>483</v>
      </c>
      <c r="CE34" s="835" t="s">
        <v>484</v>
      </c>
      <c r="CF34" s="743" t="s">
        <v>973</v>
      </c>
      <c r="CG34" s="677" t="s">
        <v>486</v>
      </c>
      <c r="CH34" s="684" t="s">
        <v>483</v>
      </c>
      <c r="CI34" s="835" t="s">
        <v>484</v>
      </c>
      <c r="CJ34" s="743" t="s">
        <v>973</v>
      </c>
      <c r="CK34" s="677" t="s">
        <v>486</v>
      </c>
      <c r="CL34" s="684" t="s">
        <v>483</v>
      </c>
      <c r="CM34" s="1059" t="s">
        <v>484</v>
      </c>
      <c r="CN34" s="743" t="s">
        <v>973</v>
      </c>
      <c r="CO34" s="677" t="s">
        <v>486</v>
      </c>
      <c r="CP34" s="684" t="s">
        <v>483</v>
      </c>
      <c r="CQ34" s="1059" t="s">
        <v>484</v>
      </c>
      <c r="CR34" s="743" t="s">
        <v>973</v>
      </c>
      <c r="CS34" s="677" t="s">
        <v>486</v>
      </c>
      <c r="CT34" s="684" t="s">
        <v>483</v>
      </c>
      <c r="CU34" s="1059" t="s">
        <v>484</v>
      </c>
      <c r="CV34" s="743" t="s">
        <v>973</v>
      </c>
      <c r="CW34" s="677" t="s">
        <v>486</v>
      </c>
      <c r="CX34" s="684" t="s">
        <v>483</v>
      </c>
      <c r="CY34" s="773" t="s">
        <v>340</v>
      </c>
      <c r="CZ34" s="677" t="s">
        <v>497</v>
      </c>
      <c r="DA34" s="684" t="s">
        <v>498</v>
      </c>
      <c r="DD34" s="835" t="s">
        <v>484</v>
      </c>
      <c r="DE34" s="743" t="s">
        <v>973</v>
      </c>
      <c r="DF34" s="677" t="s">
        <v>486</v>
      </c>
      <c r="DG34" s="684" t="s">
        <v>483</v>
      </c>
      <c r="DH34" s="835" t="s">
        <v>484</v>
      </c>
      <c r="DI34" s="743" t="s">
        <v>973</v>
      </c>
      <c r="DJ34" s="677" t="s">
        <v>486</v>
      </c>
      <c r="DK34" s="684" t="s">
        <v>483</v>
      </c>
      <c r="DL34" s="835" t="s">
        <v>484</v>
      </c>
      <c r="DM34" s="743" t="s">
        <v>973</v>
      </c>
      <c r="DN34" s="677" t="s">
        <v>486</v>
      </c>
      <c r="DO34" s="684" t="s">
        <v>483</v>
      </c>
      <c r="DP34" s="835" t="s">
        <v>484</v>
      </c>
      <c r="DQ34" s="743" t="s">
        <v>973</v>
      </c>
      <c r="DR34" s="677" t="s">
        <v>486</v>
      </c>
      <c r="DS34" s="684" t="s">
        <v>483</v>
      </c>
      <c r="DT34" s="835" t="s">
        <v>484</v>
      </c>
      <c r="DU34" s="743" t="s">
        <v>973</v>
      </c>
      <c r="DV34" s="677" t="s">
        <v>486</v>
      </c>
      <c r="DW34" s="684" t="s">
        <v>483</v>
      </c>
      <c r="DX34" s="835" t="s">
        <v>484</v>
      </c>
      <c r="DY34" s="743" t="s">
        <v>973</v>
      </c>
      <c r="DZ34" s="677" t="s">
        <v>486</v>
      </c>
      <c r="EA34" s="684" t="s">
        <v>483</v>
      </c>
      <c r="EB34" s="1018" t="s">
        <v>484</v>
      </c>
      <c r="EC34" s="743" t="s">
        <v>973</v>
      </c>
      <c r="ED34" s="677" t="s">
        <v>486</v>
      </c>
      <c r="EE34" s="684" t="s">
        <v>483</v>
      </c>
      <c r="EF34" s="1018" t="s">
        <v>484</v>
      </c>
      <c r="EG34" s="743" t="s">
        <v>973</v>
      </c>
      <c r="EH34" s="677" t="s">
        <v>486</v>
      </c>
      <c r="EI34" s="684" t="s">
        <v>483</v>
      </c>
      <c r="EJ34" s="1018" t="s">
        <v>484</v>
      </c>
      <c r="EK34" s="743" t="s">
        <v>973</v>
      </c>
      <c r="EL34" s="677" t="s">
        <v>486</v>
      </c>
      <c r="EM34" s="684" t="s">
        <v>483</v>
      </c>
      <c r="EN34" s="1018" t="s">
        <v>484</v>
      </c>
      <c r="EO34" s="743" t="s">
        <v>973</v>
      </c>
      <c r="EP34" s="677" t="s">
        <v>486</v>
      </c>
      <c r="EQ34" s="684" t="s">
        <v>483</v>
      </c>
      <c r="ER34" s="1049" t="s">
        <v>484</v>
      </c>
      <c r="ES34" s="743" t="s">
        <v>973</v>
      </c>
      <c r="ET34" s="677" t="s">
        <v>486</v>
      </c>
      <c r="EU34" s="684" t="s">
        <v>483</v>
      </c>
      <c r="EW34" s="835" t="s">
        <v>484</v>
      </c>
      <c r="EX34" s="677" t="s">
        <v>810</v>
      </c>
      <c r="EY34" s="677" t="s">
        <v>486</v>
      </c>
      <c r="EZ34" s="684" t="s">
        <v>483</v>
      </c>
      <c r="FA34" s="835" t="s">
        <v>484</v>
      </c>
      <c r="FB34" s="677" t="s">
        <v>810</v>
      </c>
      <c r="FC34" s="677" t="s">
        <v>486</v>
      </c>
      <c r="FD34" s="684" t="s">
        <v>483</v>
      </c>
    </row>
    <row r="35" spans="1:161">
      <c r="A35" s="753" t="s">
        <v>24</v>
      </c>
      <c r="B35" s="774">
        <v>2004</v>
      </c>
      <c r="C35" s="775"/>
      <c r="D35" s="762"/>
      <c r="E35" s="775"/>
      <c r="F35" s="757"/>
      <c r="G35" s="750"/>
      <c r="H35" s="750"/>
      <c r="I35" s="750"/>
      <c r="J35" s="751"/>
      <c r="K35" s="776"/>
      <c r="L35" s="762"/>
      <c r="M35" s="775"/>
      <c r="N35" s="757"/>
      <c r="O35" s="749"/>
      <c r="P35" s="750"/>
      <c r="Q35" s="750"/>
      <c r="R35" s="751"/>
      <c r="S35" s="685"/>
      <c r="T35" s="686"/>
      <c r="U35" s="686"/>
      <c r="V35" s="687"/>
      <c r="W35" s="685"/>
      <c r="X35" s="686"/>
      <c r="Y35" s="686"/>
      <c r="Z35" s="687"/>
      <c r="AA35" s="685"/>
      <c r="AB35" s="686"/>
      <c r="AC35" s="686"/>
      <c r="AD35" s="687"/>
      <c r="AE35" s="685"/>
      <c r="AF35" s="686"/>
      <c r="AG35" s="686"/>
      <c r="AH35" s="687"/>
      <c r="AI35" s="685"/>
      <c r="AJ35" s="686"/>
      <c r="AK35" s="686"/>
      <c r="AL35" s="687"/>
      <c r="AM35" s="685"/>
      <c r="AN35" s="686"/>
      <c r="AO35" s="686"/>
      <c r="AP35" s="687"/>
      <c r="AQ35" s="685"/>
      <c r="AR35" s="686"/>
      <c r="AS35" s="686"/>
      <c r="AT35" s="687"/>
      <c r="AU35" s="749"/>
      <c r="AV35" s="750"/>
      <c r="AW35" s="750"/>
      <c r="AX35" s="751"/>
      <c r="AY35" s="749"/>
      <c r="AZ35" s="750"/>
      <c r="BA35" s="750"/>
      <c r="BB35" s="751"/>
      <c r="BC35" s="749"/>
      <c r="BD35" s="750"/>
      <c r="BE35" s="750"/>
      <c r="BF35" s="751"/>
      <c r="BG35" s="749"/>
      <c r="BH35" s="750"/>
      <c r="BI35" s="750"/>
      <c r="BJ35" s="751"/>
      <c r="BK35" s="749"/>
      <c r="BL35" s="750"/>
      <c r="BM35" s="750"/>
      <c r="BN35" s="751"/>
      <c r="BO35" s="749"/>
      <c r="BP35" s="750"/>
      <c r="BQ35" s="750"/>
      <c r="BR35" s="751"/>
      <c r="BS35" s="685"/>
      <c r="BT35" s="686"/>
      <c r="BU35" s="686"/>
      <c r="BV35" s="687"/>
      <c r="BW35" s="685"/>
      <c r="BX35" s="686"/>
      <c r="BY35" s="686"/>
      <c r="BZ35" s="687"/>
      <c r="CA35" s="685"/>
      <c r="CB35" s="686"/>
      <c r="CC35" s="686"/>
      <c r="CD35" s="687"/>
      <c r="CE35" s="685"/>
      <c r="CF35" s="686"/>
      <c r="CG35" s="686"/>
      <c r="CH35" s="687"/>
      <c r="CI35" s="685"/>
      <c r="CJ35" s="686"/>
      <c r="CK35" s="686"/>
      <c r="CL35" s="687"/>
      <c r="CM35" s="685"/>
      <c r="CN35" s="686"/>
      <c r="CO35" s="686"/>
      <c r="CP35" s="687"/>
      <c r="CQ35" s="685"/>
      <c r="CR35" s="686"/>
      <c r="CS35" s="686"/>
      <c r="CT35" s="687"/>
      <c r="CU35" s="685"/>
      <c r="CV35" s="686"/>
      <c r="CW35" s="686"/>
      <c r="CX35" s="687"/>
      <c r="CY35" s="777"/>
      <c r="CZ35" s="686"/>
      <c r="DA35" s="778"/>
      <c r="DD35" s="685"/>
      <c r="DE35" s="686"/>
      <c r="DF35" s="686"/>
      <c r="DG35" s="687"/>
      <c r="DH35" s="685"/>
      <c r="DI35" s="686"/>
      <c r="DJ35" s="686"/>
      <c r="DK35" s="687"/>
      <c r="DL35" s="685"/>
      <c r="DM35" s="686"/>
      <c r="DN35" s="686"/>
      <c r="DO35" s="687"/>
      <c r="DP35" s="685"/>
      <c r="DQ35" s="686"/>
      <c r="DR35" s="686"/>
      <c r="DS35" s="687"/>
      <c r="DT35" s="685"/>
      <c r="DU35" s="686"/>
      <c r="DV35" s="686"/>
      <c r="DW35" s="687"/>
      <c r="DX35" s="685"/>
      <c r="DY35" s="686"/>
      <c r="DZ35" s="686"/>
      <c r="EA35" s="687"/>
      <c r="EB35" s="685"/>
      <c r="EC35" s="686"/>
      <c r="ED35" s="686"/>
      <c r="EE35" s="687"/>
      <c r="EF35" s="685"/>
      <c r="EG35" s="686"/>
      <c r="EH35" s="686"/>
      <c r="EI35" s="687"/>
      <c r="EJ35" s="685"/>
      <c r="EK35" s="686"/>
      <c r="EL35" s="686"/>
      <c r="EM35" s="687"/>
      <c r="EN35" s="685"/>
      <c r="EO35" s="686"/>
      <c r="EP35" s="686"/>
      <c r="EQ35" s="687"/>
      <c r="ER35" s="685"/>
      <c r="ES35" s="686"/>
      <c r="ET35" s="686"/>
      <c r="EU35" s="687"/>
      <c r="EW35" s="685"/>
      <c r="EX35" s="686"/>
      <c r="EY35" s="686"/>
      <c r="EZ35" s="687"/>
      <c r="FA35" s="685"/>
      <c r="FB35" s="686"/>
      <c r="FC35" s="686"/>
      <c r="FD35" s="687"/>
      <c r="FE35" s="780"/>
    </row>
    <row r="36" spans="1:161">
      <c r="A36" s="753" t="s">
        <v>23</v>
      </c>
      <c r="B36" s="774">
        <v>2004</v>
      </c>
      <c r="C36" s="775"/>
      <c r="D36" s="762"/>
      <c r="E36" s="775"/>
      <c r="F36" s="757"/>
      <c r="G36" s="750"/>
      <c r="H36" s="750"/>
      <c r="I36" s="750"/>
      <c r="J36" s="751"/>
      <c r="K36" s="776"/>
      <c r="L36" s="762"/>
      <c r="M36" s="775"/>
      <c r="N36" s="757"/>
      <c r="O36" s="749"/>
      <c r="P36" s="750"/>
      <c r="Q36" s="750"/>
      <c r="R36" s="751"/>
      <c r="S36" s="685"/>
      <c r="T36" s="686"/>
      <c r="U36" s="686"/>
      <c r="V36" s="687"/>
      <c r="W36" s="685"/>
      <c r="X36" s="686"/>
      <c r="Y36" s="686"/>
      <c r="Z36" s="687"/>
      <c r="AA36" s="685"/>
      <c r="AB36" s="686"/>
      <c r="AC36" s="686"/>
      <c r="AD36" s="687"/>
      <c r="AE36" s="685"/>
      <c r="AF36" s="686"/>
      <c r="AG36" s="686"/>
      <c r="AH36" s="687"/>
      <c r="AI36" s="685"/>
      <c r="AJ36" s="686"/>
      <c r="AK36" s="686"/>
      <c r="AL36" s="687"/>
      <c r="AM36" s="685"/>
      <c r="AN36" s="686"/>
      <c r="AO36" s="686"/>
      <c r="AP36" s="687"/>
      <c r="AQ36" s="685"/>
      <c r="AR36" s="686"/>
      <c r="AS36" s="686"/>
      <c r="AT36" s="687"/>
      <c r="AU36" s="749"/>
      <c r="AV36" s="750"/>
      <c r="AW36" s="750"/>
      <c r="AX36" s="751"/>
      <c r="AY36" s="749"/>
      <c r="AZ36" s="750"/>
      <c r="BA36" s="750"/>
      <c r="BB36" s="751"/>
      <c r="BC36" s="749"/>
      <c r="BD36" s="750"/>
      <c r="BE36" s="750"/>
      <c r="BF36" s="751"/>
      <c r="BG36" s="749"/>
      <c r="BH36" s="750"/>
      <c r="BI36" s="750"/>
      <c r="BJ36" s="751"/>
      <c r="BK36" s="749"/>
      <c r="BL36" s="750"/>
      <c r="BM36" s="750"/>
      <c r="BN36" s="751"/>
      <c r="BO36" s="749"/>
      <c r="BP36" s="750"/>
      <c r="BQ36" s="750"/>
      <c r="BR36" s="751"/>
      <c r="BS36" s="685"/>
      <c r="BT36" s="686"/>
      <c r="BU36" s="686"/>
      <c r="BV36" s="687"/>
      <c r="BW36" s="685"/>
      <c r="BX36" s="686"/>
      <c r="BY36" s="686"/>
      <c r="BZ36" s="687"/>
      <c r="CA36" s="685"/>
      <c r="CB36" s="686"/>
      <c r="CC36" s="686"/>
      <c r="CD36" s="687"/>
      <c r="CE36" s="685"/>
      <c r="CF36" s="686"/>
      <c r="CG36" s="686"/>
      <c r="CH36" s="687"/>
      <c r="CI36" s="685"/>
      <c r="CJ36" s="686"/>
      <c r="CK36" s="686"/>
      <c r="CL36" s="687"/>
      <c r="CM36" s="685"/>
      <c r="CN36" s="686"/>
      <c r="CO36" s="686"/>
      <c r="CP36" s="687"/>
      <c r="CQ36" s="685"/>
      <c r="CR36" s="686"/>
      <c r="CS36" s="686"/>
      <c r="CT36" s="687"/>
      <c r="CU36" s="685"/>
      <c r="CV36" s="686"/>
      <c r="CW36" s="686"/>
      <c r="CX36" s="687"/>
      <c r="CY36" s="777"/>
      <c r="CZ36" s="779"/>
      <c r="DA36" s="687"/>
      <c r="DD36" s="685"/>
      <c r="DE36" s="686"/>
      <c r="DF36" s="686"/>
      <c r="DG36" s="687"/>
      <c r="DH36" s="685"/>
      <c r="DI36" s="686"/>
      <c r="DJ36" s="686"/>
      <c r="DK36" s="687"/>
      <c r="DL36" s="685"/>
      <c r="DM36" s="686"/>
      <c r="DN36" s="686"/>
      <c r="DO36" s="687"/>
      <c r="DP36" s="685"/>
      <c r="DQ36" s="686"/>
      <c r="DR36" s="686"/>
      <c r="DS36" s="687"/>
      <c r="DT36" s="685"/>
      <c r="DU36" s="686"/>
      <c r="DV36" s="686"/>
      <c r="DW36" s="687"/>
      <c r="DX36" s="685"/>
      <c r="DY36" s="686"/>
      <c r="DZ36" s="686"/>
      <c r="EA36" s="687"/>
      <c r="EB36" s="685"/>
      <c r="EC36" s="686"/>
      <c r="ED36" s="686"/>
      <c r="EE36" s="687"/>
      <c r="EF36" s="685"/>
      <c r="EG36" s="686"/>
      <c r="EH36" s="686"/>
      <c r="EI36" s="687"/>
      <c r="EJ36" s="685"/>
      <c r="EK36" s="686"/>
      <c r="EL36" s="686"/>
      <c r="EM36" s="687"/>
      <c r="EN36" s="685"/>
      <c r="EO36" s="686"/>
      <c r="EP36" s="686"/>
      <c r="EQ36" s="687"/>
      <c r="ER36" s="685"/>
      <c r="ES36" s="686"/>
      <c r="ET36" s="686"/>
      <c r="EU36" s="687"/>
      <c r="EW36" s="685"/>
      <c r="EX36" s="686"/>
      <c r="EY36" s="686"/>
      <c r="EZ36" s="687"/>
      <c r="FA36" s="685"/>
      <c r="FB36" s="686"/>
      <c r="FC36" s="686"/>
      <c r="FD36" s="687"/>
    </row>
    <row r="37" spans="1:161">
      <c r="A37" s="753" t="s">
        <v>24</v>
      </c>
      <c r="B37" s="774">
        <v>2005</v>
      </c>
      <c r="C37" s="775"/>
      <c r="D37" s="762"/>
      <c r="E37" s="775"/>
      <c r="F37" s="757"/>
      <c r="G37" s="775"/>
      <c r="H37" s="762"/>
      <c r="I37" s="775"/>
      <c r="J37" s="757"/>
      <c r="K37" s="780"/>
      <c r="L37" s="775"/>
      <c r="M37" s="775"/>
      <c r="N37" s="757"/>
      <c r="O37" s="753"/>
      <c r="P37" s="756"/>
      <c r="Q37" s="756"/>
      <c r="R37" s="757"/>
      <c r="S37" s="675"/>
      <c r="T37" s="631"/>
      <c r="U37" s="631"/>
      <c r="V37" s="662"/>
      <c r="W37" s="675"/>
      <c r="X37" s="631"/>
      <c r="Y37" s="631"/>
      <c r="Z37" s="662"/>
      <c r="AA37" s="675"/>
      <c r="AB37" s="631"/>
      <c r="AC37" s="631"/>
      <c r="AD37" s="662"/>
      <c r="AE37" s="675"/>
      <c r="AF37" s="631"/>
      <c r="AG37" s="631"/>
      <c r="AH37" s="662"/>
      <c r="AI37" s="675"/>
      <c r="AJ37" s="631"/>
      <c r="AK37" s="631"/>
      <c r="AL37" s="662"/>
      <c r="AM37" s="675"/>
      <c r="AN37" s="631"/>
      <c r="AO37" s="631"/>
      <c r="AP37" s="662"/>
      <c r="AQ37" s="675"/>
      <c r="AR37" s="631"/>
      <c r="AS37" s="631"/>
      <c r="AT37" s="662"/>
      <c r="AU37" s="753"/>
      <c r="AV37" s="756"/>
      <c r="AW37" s="756"/>
      <c r="AX37" s="757"/>
      <c r="AY37" s="753"/>
      <c r="AZ37" s="756"/>
      <c r="BA37" s="756"/>
      <c r="BB37" s="757"/>
      <c r="BC37" s="753"/>
      <c r="BD37" s="756"/>
      <c r="BE37" s="756"/>
      <c r="BF37" s="757"/>
      <c r="BG37" s="753"/>
      <c r="BH37" s="756"/>
      <c r="BI37" s="756"/>
      <c r="BJ37" s="757"/>
      <c r="BK37" s="753"/>
      <c r="BL37" s="756"/>
      <c r="BM37" s="756"/>
      <c r="BN37" s="757"/>
      <c r="BO37" s="753"/>
      <c r="BP37" s="756"/>
      <c r="BQ37" s="756"/>
      <c r="BR37" s="757"/>
      <c r="BS37" s="675"/>
      <c r="BT37" s="631"/>
      <c r="BU37" s="631"/>
      <c r="BV37" s="662"/>
      <c r="BW37" s="675"/>
      <c r="BX37" s="631"/>
      <c r="BY37" s="631"/>
      <c r="BZ37" s="662"/>
      <c r="CA37" s="675"/>
      <c r="CB37" s="631"/>
      <c r="CC37" s="631"/>
      <c r="CD37" s="662"/>
      <c r="CE37" s="675"/>
      <c r="CF37" s="631"/>
      <c r="CG37" s="631"/>
      <c r="CH37" s="662"/>
      <c r="CI37" s="675"/>
      <c r="CJ37" s="631"/>
      <c r="CK37" s="631"/>
      <c r="CL37" s="662"/>
      <c r="CM37" s="675"/>
      <c r="CN37" s="631"/>
      <c r="CO37" s="631"/>
      <c r="CP37" s="662"/>
      <c r="CQ37" s="675"/>
      <c r="CR37" s="631"/>
      <c r="CS37" s="631"/>
      <c r="CT37" s="662"/>
      <c r="CU37" s="675"/>
      <c r="CV37" s="631"/>
      <c r="CW37" s="631"/>
      <c r="CX37" s="662"/>
      <c r="CY37" s="777"/>
      <c r="CZ37" s="756"/>
      <c r="DA37" s="778"/>
      <c r="DD37" s="675"/>
      <c r="DE37" s="631"/>
      <c r="DF37" s="631"/>
      <c r="DG37" s="662"/>
      <c r="DH37" s="675"/>
      <c r="DI37" s="631"/>
      <c r="DJ37" s="631"/>
      <c r="DK37" s="662"/>
      <c r="DL37" s="675"/>
      <c r="DM37" s="631"/>
      <c r="DN37" s="631"/>
      <c r="DO37" s="662"/>
      <c r="DP37" s="675"/>
      <c r="DQ37" s="631"/>
      <c r="DR37" s="631"/>
      <c r="DS37" s="662"/>
      <c r="DT37" s="675"/>
      <c r="DU37" s="631"/>
      <c r="DV37" s="631"/>
      <c r="DW37" s="662"/>
      <c r="DX37" s="675"/>
      <c r="DY37" s="631"/>
      <c r="DZ37" s="631"/>
      <c r="EA37" s="662"/>
      <c r="EB37" s="675"/>
      <c r="EC37" s="631"/>
      <c r="ED37" s="631"/>
      <c r="EE37" s="662"/>
      <c r="EF37" s="675"/>
      <c r="EG37" s="631"/>
      <c r="EH37" s="631"/>
      <c r="EI37" s="662"/>
      <c r="EJ37" s="675"/>
      <c r="EK37" s="631"/>
      <c r="EL37" s="631"/>
      <c r="EM37" s="662"/>
      <c r="EN37" s="675"/>
      <c r="EO37" s="631"/>
      <c r="EP37" s="631"/>
      <c r="EQ37" s="662"/>
      <c r="ER37" s="675"/>
      <c r="ES37" s="631"/>
      <c r="ET37" s="631"/>
      <c r="EU37" s="662"/>
      <c r="EW37" s="675"/>
      <c r="EX37" s="631"/>
      <c r="EY37" s="631"/>
      <c r="EZ37" s="662"/>
      <c r="FA37" s="675"/>
      <c r="FB37" s="631"/>
      <c r="FC37" s="631"/>
      <c r="FD37" s="662"/>
    </row>
    <row r="38" spans="1:161">
      <c r="A38" s="753" t="s">
        <v>23</v>
      </c>
      <c r="B38" s="774">
        <v>2005</v>
      </c>
      <c r="C38" s="775"/>
      <c r="D38" s="762"/>
      <c r="E38" s="775"/>
      <c r="F38" s="757"/>
      <c r="G38" s="775"/>
      <c r="H38" s="762"/>
      <c r="I38" s="775"/>
      <c r="J38" s="757"/>
      <c r="K38" s="780"/>
      <c r="L38" s="775"/>
      <c r="M38" s="775"/>
      <c r="N38" s="757"/>
      <c r="O38" s="753"/>
      <c r="P38" s="756"/>
      <c r="Q38" s="756"/>
      <c r="R38" s="757"/>
      <c r="S38" s="675"/>
      <c r="T38" s="631"/>
      <c r="U38" s="631"/>
      <c r="V38" s="662"/>
      <c r="W38" s="675"/>
      <c r="X38" s="631"/>
      <c r="Y38" s="631"/>
      <c r="Z38" s="662"/>
      <c r="AA38" s="675"/>
      <c r="AB38" s="631"/>
      <c r="AC38" s="631"/>
      <c r="AD38" s="662"/>
      <c r="AE38" s="675"/>
      <c r="AF38" s="631"/>
      <c r="AG38" s="631"/>
      <c r="AH38" s="662"/>
      <c r="AI38" s="675"/>
      <c r="AJ38" s="631"/>
      <c r="AK38" s="631"/>
      <c r="AL38" s="662"/>
      <c r="AM38" s="675"/>
      <c r="AN38" s="631"/>
      <c r="AO38" s="631"/>
      <c r="AP38" s="662"/>
      <c r="AQ38" s="675"/>
      <c r="AR38" s="631"/>
      <c r="AS38" s="631"/>
      <c r="AT38" s="662"/>
      <c r="AU38" s="753"/>
      <c r="AV38" s="756"/>
      <c r="AW38" s="756"/>
      <c r="AX38" s="757"/>
      <c r="AY38" s="753"/>
      <c r="AZ38" s="756"/>
      <c r="BA38" s="756"/>
      <c r="BB38" s="757"/>
      <c r="BC38" s="753"/>
      <c r="BD38" s="756"/>
      <c r="BE38" s="756"/>
      <c r="BF38" s="757"/>
      <c r="BG38" s="753"/>
      <c r="BH38" s="756"/>
      <c r="BI38" s="756"/>
      <c r="BJ38" s="757"/>
      <c r="BK38" s="753"/>
      <c r="BL38" s="756"/>
      <c r="BM38" s="756"/>
      <c r="BN38" s="757"/>
      <c r="BO38" s="753"/>
      <c r="BP38" s="756"/>
      <c r="BQ38" s="756"/>
      <c r="BR38" s="757"/>
      <c r="BS38" s="675"/>
      <c r="BT38" s="631"/>
      <c r="BU38" s="631"/>
      <c r="BV38" s="662"/>
      <c r="BW38" s="675"/>
      <c r="BX38" s="631"/>
      <c r="BY38" s="631"/>
      <c r="BZ38" s="662"/>
      <c r="CA38" s="675"/>
      <c r="CB38" s="631"/>
      <c r="CC38" s="631"/>
      <c r="CD38" s="662"/>
      <c r="CE38" s="675"/>
      <c r="CF38" s="631"/>
      <c r="CG38" s="631"/>
      <c r="CH38" s="662"/>
      <c r="CI38" s="675"/>
      <c r="CJ38" s="631"/>
      <c r="CK38" s="631"/>
      <c r="CL38" s="662"/>
      <c r="CM38" s="675"/>
      <c r="CN38" s="631"/>
      <c r="CO38" s="631"/>
      <c r="CP38" s="662"/>
      <c r="CQ38" s="675"/>
      <c r="CR38" s="631"/>
      <c r="CS38" s="631"/>
      <c r="CT38" s="662"/>
      <c r="CU38" s="675"/>
      <c r="CV38" s="631"/>
      <c r="CW38" s="631"/>
      <c r="CX38" s="662"/>
      <c r="CY38" s="777"/>
      <c r="CZ38" s="779"/>
      <c r="DA38" s="752"/>
      <c r="DD38" s="675"/>
      <c r="DE38" s="631"/>
      <c r="DF38" s="631"/>
      <c r="DG38" s="662"/>
      <c r="DH38" s="675"/>
      <c r="DI38" s="631"/>
      <c r="DJ38" s="631"/>
      <c r="DK38" s="662"/>
      <c r="DL38" s="675"/>
      <c r="DM38" s="631"/>
      <c r="DN38" s="631"/>
      <c r="DO38" s="662"/>
      <c r="DP38" s="675"/>
      <c r="DQ38" s="631"/>
      <c r="DR38" s="631"/>
      <c r="DS38" s="662"/>
      <c r="DT38" s="675"/>
      <c r="DU38" s="631"/>
      <c r="DV38" s="631"/>
      <c r="DW38" s="662"/>
      <c r="DX38" s="675"/>
      <c r="DY38" s="631"/>
      <c r="DZ38" s="631"/>
      <c r="EA38" s="662"/>
      <c r="EB38" s="675"/>
      <c r="EC38" s="631"/>
      <c r="ED38" s="631"/>
      <c r="EE38" s="662"/>
      <c r="EF38" s="675"/>
      <c r="EG38" s="631"/>
      <c r="EH38" s="631"/>
      <c r="EI38" s="662"/>
      <c r="EJ38" s="675"/>
      <c r="EK38" s="631"/>
      <c r="EL38" s="631"/>
      <c r="EM38" s="662"/>
      <c r="EN38" s="675"/>
      <c r="EO38" s="631"/>
      <c r="EP38" s="631"/>
      <c r="EQ38" s="662"/>
      <c r="ER38" s="675"/>
      <c r="ES38" s="631"/>
      <c r="ET38" s="631"/>
      <c r="EU38" s="662"/>
      <c r="EW38" s="675"/>
      <c r="EX38" s="631"/>
      <c r="EY38" s="631"/>
      <c r="EZ38" s="662"/>
      <c r="FA38" s="675"/>
      <c r="FB38" s="631"/>
      <c r="FC38" s="631"/>
      <c r="FD38" s="662"/>
    </row>
    <row r="39" spans="1:161">
      <c r="A39" s="753" t="s">
        <v>24</v>
      </c>
      <c r="B39" s="774">
        <f t="shared" ref="B39:B72" si="0">+B37+1</f>
        <v>2006</v>
      </c>
      <c r="C39" s="775"/>
      <c r="D39" s="775"/>
      <c r="E39" s="775"/>
      <c r="F39" s="757"/>
      <c r="G39" s="775"/>
      <c r="H39" s="762"/>
      <c r="I39" s="775"/>
      <c r="J39" s="757"/>
      <c r="K39" s="780"/>
      <c r="L39" s="775"/>
      <c r="M39" s="775"/>
      <c r="N39" s="757"/>
      <c r="O39" s="776"/>
      <c r="P39" s="762"/>
      <c r="Q39" s="775"/>
      <c r="R39" s="757"/>
      <c r="S39" s="661"/>
      <c r="T39" s="680"/>
      <c r="U39" s="630"/>
      <c r="V39" s="757"/>
      <c r="W39" s="661"/>
      <c r="X39" s="680"/>
      <c r="Y39" s="630"/>
      <c r="Z39" s="757"/>
      <c r="AA39" s="661"/>
      <c r="AB39" s="680"/>
      <c r="AC39" s="630"/>
      <c r="AD39" s="757"/>
      <c r="AE39" s="661"/>
      <c r="AF39" s="680"/>
      <c r="AG39" s="630"/>
      <c r="AH39" s="757"/>
      <c r="AI39" s="661"/>
      <c r="AJ39" s="680"/>
      <c r="AK39" s="630"/>
      <c r="AL39" s="757"/>
      <c r="AM39" s="661"/>
      <c r="AN39" s="680"/>
      <c r="AO39" s="630"/>
      <c r="AP39" s="757"/>
      <c r="AQ39" s="661"/>
      <c r="AR39" s="680"/>
      <c r="AS39" s="630"/>
      <c r="AT39" s="757"/>
      <c r="AU39" s="776"/>
      <c r="AV39" s="762"/>
      <c r="AW39" s="775"/>
      <c r="AX39" s="757"/>
      <c r="AY39" s="776"/>
      <c r="AZ39" s="762"/>
      <c r="BA39" s="775"/>
      <c r="BB39" s="757"/>
      <c r="BC39" s="776"/>
      <c r="BD39" s="762"/>
      <c r="BE39" s="775"/>
      <c r="BF39" s="757"/>
      <c r="BG39" s="776"/>
      <c r="BH39" s="762"/>
      <c r="BI39" s="775"/>
      <c r="BJ39" s="757"/>
      <c r="BK39" s="776"/>
      <c r="BL39" s="762"/>
      <c r="BM39" s="775"/>
      <c r="BN39" s="757"/>
      <c r="BO39" s="776"/>
      <c r="BP39" s="762"/>
      <c r="BQ39" s="775"/>
      <c r="BR39" s="757"/>
      <c r="BS39" s="661"/>
      <c r="BT39" s="680"/>
      <c r="BU39" s="630"/>
      <c r="BV39" s="757"/>
      <c r="BW39" s="661"/>
      <c r="BX39" s="680"/>
      <c r="BY39" s="630"/>
      <c r="BZ39" s="757"/>
      <c r="CA39" s="661"/>
      <c r="CB39" s="680"/>
      <c r="CC39" s="630"/>
      <c r="CD39" s="757"/>
      <c r="CE39" s="661"/>
      <c r="CF39" s="680"/>
      <c r="CG39" s="630"/>
      <c r="CH39" s="757"/>
      <c r="CI39" s="661"/>
      <c r="CJ39" s="680"/>
      <c r="CK39" s="630"/>
      <c r="CL39" s="757"/>
      <c r="CM39" s="661"/>
      <c r="CN39" s="680"/>
      <c r="CO39" s="630"/>
      <c r="CP39" s="757"/>
      <c r="CQ39" s="661"/>
      <c r="CR39" s="680"/>
      <c r="CS39" s="630"/>
      <c r="CT39" s="757"/>
      <c r="CU39" s="661"/>
      <c r="CV39" s="680"/>
      <c r="CW39" s="630"/>
      <c r="CX39" s="757"/>
      <c r="CY39" s="777"/>
      <c r="CZ39" s="756"/>
      <c r="DA39" s="778"/>
      <c r="DD39" s="661"/>
      <c r="DE39" s="680"/>
      <c r="DF39" s="630"/>
      <c r="DG39" s="662"/>
      <c r="DH39" s="661"/>
      <c r="DI39" s="680"/>
      <c r="DJ39" s="630"/>
      <c r="DK39" s="662"/>
      <c r="DL39" s="661"/>
      <c r="DM39" s="680"/>
      <c r="DN39" s="630"/>
      <c r="DO39" s="662"/>
      <c r="DP39" s="661"/>
      <c r="DQ39" s="680"/>
      <c r="DR39" s="630"/>
      <c r="DS39" s="662"/>
      <c r="DT39" s="661"/>
      <c r="DU39" s="680"/>
      <c r="DV39" s="630"/>
      <c r="DW39" s="662"/>
      <c r="DX39" s="661"/>
      <c r="DY39" s="680"/>
      <c r="DZ39" s="630"/>
      <c r="EA39" s="662"/>
      <c r="EB39" s="661"/>
      <c r="EC39" s="680"/>
      <c r="ED39" s="630"/>
      <c r="EE39" s="662"/>
      <c r="EF39" s="661"/>
      <c r="EG39" s="680"/>
      <c r="EH39" s="630"/>
      <c r="EI39" s="662"/>
      <c r="EJ39" s="661"/>
      <c r="EK39" s="680"/>
      <c r="EL39" s="630"/>
      <c r="EM39" s="662"/>
      <c r="EN39" s="661"/>
      <c r="EO39" s="680"/>
      <c r="EP39" s="630"/>
      <c r="EQ39" s="662"/>
      <c r="ER39" s="661"/>
      <c r="ES39" s="680"/>
      <c r="ET39" s="630"/>
      <c r="EU39" s="662"/>
      <c r="EW39" s="661"/>
      <c r="EX39" s="680"/>
      <c r="EY39" s="630"/>
      <c r="EZ39" s="662"/>
      <c r="FA39" s="661"/>
      <c r="FB39" s="680"/>
      <c r="FC39" s="630"/>
      <c r="FD39" s="662"/>
    </row>
    <row r="40" spans="1:161">
      <c r="A40" s="753" t="s">
        <v>23</v>
      </c>
      <c r="B40" s="774">
        <f t="shared" si="0"/>
        <v>2006</v>
      </c>
      <c r="C40" s="775"/>
      <c r="D40" s="775"/>
      <c r="E40" s="775"/>
      <c r="F40" s="757"/>
      <c r="G40" s="775"/>
      <c r="H40" s="762"/>
      <c r="I40" s="775"/>
      <c r="J40" s="757"/>
      <c r="K40" s="780"/>
      <c r="L40" s="775"/>
      <c r="M40" s="775"/>
      <c r="N40" s="757"/>
      <c r="O40" s="776"/>
      <c r="P40" s="762"/>
      <c r="Q40" s="775"/>
      <c r="R40" s="757"/>
      <c r="S40" s="661"/>
      <c r="T40" s="680"/>
      <c r="U40" s="630"/>
      <c r="V40" s="662"/>
      <c r="W40" s="661"/>
      <c r="X40" s="680"/>
      <c r="Y40" s="630"/>
      <c r="Z40" s="662"/>
      <c r="AA40" s="661"/>
      <c r="AB40" s="680"/>
      <c r="AC40" s="630"/>
      <c r="AD40" s="662"/>
      <c r="AE40" s="661"/>
      <c r="AF40" s="680"/>
      <c r="AG40" s="630"/>
      <c r="AH40" s="662"/>
      <c r="AI40" s="661"/>
      <c r="AJ40" s="680"/>
      <c r="AK40" s="630"/>
      <c r="AL40" s="662"/>
      <c r="AM40" s="661"/>
      <c r="AN40" s="680"/>
      <c r="AO40" s="630"/>
      <c r="AP40" s="662"/>
      <c r="AQ40" s="661"/>
      <c r="AR40" s="680"/>
      <c r="AS40" s="630"/>
      <c r="AT40" s="662"/>
      <c r="AU40" s="776"/>
      <c r="AV40" s="762"/>
      <c r="AW40" s="775"/>
      <c r="AX40" s="757"/>
      <c r="AY40" s="776"/>
      <c r="AZ40" s="762"/>
      <c r="BA40" s="775"/>
      <c r="BB40" s="757"/>
      <c r="BC40" s="776"/>
      <c r="BD40" s="762"/>
      <c r="BE40" s="775"/>
      <c r="BF40" s="757"/>
      <c r="BG40" s="776"/>
      <c r="BH40" s="762"/>
      <c r="BI40" s="775"/>
      <c r="BJ40" s="757"/>
      <c r="BK40" s="776"/>
      <c r="BL40" s="762"/>
      <c r="BM40" s="775"/>
      <c r="BN40" s="757"/>
      <c r="BO40" s="776"/>
      <c r="BP40" s="762"/>
      <c r="BQ40" s="775"/>
      <c r="BR40" s="757"/>
      <c r="BS40" s="661"/>
      <c r="BT40" s="680"/>
      <c r="BU40" s="630"/>
      <c r="BV40" s="662"/>
      <c r="BW40" s="661"/>
      <c r="BX40" s="680"/>
      <c r="BY40" s="630"/>
      <c r="BZ40" s="662"/>
      <c r="CA40" s="661"/>
      <c r="CB40" s="680"/>
      <c r="CC40" s="630"/>
      <c r="CD40" s="662"/>
      <c r="CE40" s="661"/>
      <c r="CF40" s="680"/>
      <c r="CG40" s="630"/>
      <c r="CH40" s="662"/>
      <c r="CI40" s="661"/>
      <c r="CJ40" s="680"/>
      <c r="CK40" s="630"/>
      <c r="CL40" s="662"/>
      <c r="CM40" s="661"/>
      <c r="CN40" s="680"/>
      <c r="CO40" s="630"/>
      <c r="CP40" s="662"/>
      <c r="CQ40" s="661"/>
      <c r="CR40" s="680"/>
      <c r="CS40" s="630"/>
      <c r="CT40" s="662"/>
      <c r="CU40" s="661"/>
      <c r="CV40" s="680"/>
      <c r="CW40" s="630"/>
      <c r="CX40" s="662"/>
      <c r="CY40" s="777"/>
      <c r="CZ40" s="779"/>
      <c r="DA40" s="752"/>
      <c r="DB40" s="781"/>
      <c r="DD40" s="661"/>
      <c r="DE40" s="680"/>
      <c r="DF40" s="630"/>
      <c r="DG40" s="662"/>
      <c r="DH40" s="661"/>
      <c r="DI40" s="680"/>
      <c r="DJ40" s="630"/>
      <c r="DK40" s="662"/>
      <c r="DL40" s="661"/>
      <c r="DM40" s="680"/>
      <c r="DN40" s="630"/>
      <c r="DO40" s="662"/>
      <c r="DP40" s="661"/>
      <c r="DQ40" s="680"/>
      <c r="DR40" s="630"/>
      <c r="DS40" s="662"/>
      <c r="DT40" s="661"/>
      <c r="DU40" s="680"/>
      <c r="DV40" s="630"/>
      <c r="DW40" s="662"/>
      <c r="DX40" s="661"/>
      <c r="DY40" s="680"/>
      <c r="DZ40" s="630"/>
      <c r="EA40" s="662"/>
      <c r="EB40" s="661"/>
      <c r="EC40" s="680"/>
      <c r="ED40" s="630"/>
      <c r="EE40" s="662"/>
      <c r="EF40" s="661"/>
      <c r="EG40" s="680"/>
      <c r="EH40" s="630"/>
      <c r="EI40" s="662"/>
      <c r="EJ40" s="661"/>
      <c r="EK40" s="680"/>
      <c r="EL40" s="630"/>
      <c r="EM40" s="662"/>
      <c r="EN40" s="661"/>
      <c r="EO40" s="680"/>
      <c r="EP40" s="630"/>
      <c r="EQ40" s="662"/>
      <c r="ER40" s="661"/>
      <c r="ES40" s="680"/>
      <c r="ET40" s="630"/>
      <c r="EU40" s="662"/>
      <c r="EW40" s="661"/>
      <c r="EX40" s="680"/>
      <c r="EY40" s="630"/>
      <c r="EZ40" s="662"/>
      <c r="FA40" s="661"/>
      <c r="FB40" s="680"/>
      <c r="FC40" s="630"/>
      <c r="FD40" s="662"/>
    </row>
    <row r="41" spans="1:161">
      <c r="A41" s="753" t="s">
        <v>24</v>
      </c>
      <c r="B41" s="774">
        <f t="shared" si="0"/>
        <v>2007</v>
      </c>
      <c r="C41" s="775"/>
      <c r="D41" s="775"/>
      <c r="E41" s="775"/>
      <c r="F41" s="757"/>
      <c r="G41" s="775"/>
      <c r="H41" s="775"/>
      <c r="I41" s="775"/>
      <c r="J41" s="757"/>
      <c r="K41" s="775">
        <f>+K30</f>
        <v>13438469.49</v>
      </c>
      <c r="L41" s="775">
        <f>+K$31/12*(12-$K$32)</f>
        <v>76354.940284090917</v>
      </c>
      <c r="M41" s="775">
        <f>+K41-L41</f>
        <v>13362114.54971591</v>
      </c>
      <c r="N41" s="757">
        <f>+(((K$28*M41)*(12-K$32)/12))+L41</f>
        <v>671993.01941102196</v>
      </c>
      <c r="O41" s="776"/>
      <c r="P41" s="762"/>
      <c r="Q41" s="775"/>
      <c r="R41" s="757"/>
      <c r="S41" s="661"/>
      <c r="T41" s="680"/>
      <c r="U41" s="630"/>
      <c r="V41" s="662"/>
      <c r="W41" s="661"/>
      <c r="X41" s="680"/>
      <c r="Y41" s="630"/>
      <c r="Z41" s="662"/>
      <c r="AA41" s="661"/>
      <c r="AB41" s="680"/>
      <c r="AC41" s="630"/>
      <c r="AD41" s="662"/>
      <c r="AE41" s="661"/>
      <c r="AF41" s="680"/>
      <c r="AG41" s="630"/>
      <c r="AH41" s="662"/>
      <c r="AI41" s="661"/>
      <c r="AJ41" s="680"/>
      <c r="AK41" s="630"/>
      <c r="AL41" s="662"/>
      <c r="AM41" s="661"/>
      <c r="AN41" s="680"/>
      <c r="AO41" s="630"/>
      <c r="AP41" s="662"/>
      <c r="AQ41" s="661"/>
      <c r="AR41" s="680"/>
      <c r="AS41" s="630"/>
      <c r="AT41" s="662"/>
      <c r="AU41" s="776">
        <f>+AU$30</f>
        <v>30000000</v>
      </c>
      <c r="AV41" s="762">
        <f>+AU$31/12*(12-AU$32)</f>
        <v>125000</v>
      </c>
      <c r="AW41" s="775">
        <f t="shared" ref="AW41:AW76" si="1">+AU41-AV41</f>
        <v>29875000</v>
      </c>
      <c r="AX41" s="757">
        <f>+AU$28*AW41+AV41</f>
        <v>125000</v>
      </c>
      <c r="AY41" s="776">
        <f>+AY$30</f>
        <v>20000000</v>
      </c>
      <c r="AZ41" s="762">
        <f>+AY$31/12*(12-AY$32)</f>
        <v>416666.66666666663</v>
      </c>
      <c r="BA41" s="775">
        <f t="shared" ref="BA41:BA76" si="2">+AY41-AZ41</f>
        <v>19583333.333333332</v>
      </c>
      <c r="BB41" s="757">
        <f>+AY$28*BA41+AZ41</f>
        <v>416666.66666666663</v>
      </c>
      <c r="BC41" s="776"/>
      <c r="BD41" s="775"/>
      <c r="BE41" s="775"/>
      <c r="BF41" s="757"/>
      <c r="BG41" s="776"/>
      <c r="BH41" s="775"/>
      <c r="BI41" s="775"/>
      <c r="BJ41" s="757"/>
      <c r="BK41" s="776"/>
      <c r="BL41" s="775"/>
      <c r="BM41" s="775"/>
      <c r="BN41" s="757"/>
      <c r="BO41" s="776"/>
      <c r="BP41" s="775"/>
      <c r="BQ41" s="775"/>
      <c r="BR41" s="757"/>
      <c r="BS41" s="661"/>
      <c r="BT41" s="680"/>
      <c r="BU41" s="630"/>
      <c r="BV41" s="662"/>
      <c r="BW41" s="661"/>
      <c r="BX41" s="680"/>
      <c r="BY41" s="630"/>
      <c r="BZ41" s="662"/>
      <c r="CA41" s="661"/>
      <c r="CB41" s="680"/>
      <c r="CC41" s="630"/>
      <c r="CD41" s="662"/>
      <c r="CE41" s="661"/>
      <c r="CF41" s="680"/>
      <c r="CG41" s="630"/>
      <c r="CH41" s="662"/>
      <c r="CI41" s="661"/>
      <c r="CJ41" s="680"/>
      <c r="CK41" s="630"/>
      <c r="CL41" s="662"/>
      <c r="CM41" s="661"/>
      <c r="CN41" s="680"/>
      <c r="CO41" s="630"/>
      <c r="CP41" s="662"/>
      <c r="CQ41" s="661"/>
      <c r="CR41" s="680"/>
      <c r="CS41" s="630"/>
      <c r="CT41" s="662"/>
      <c r="CU41" s="661"/>
      <c r="CV41" s="680"/>
      <c r="CW41" s="630"/>
      <c r="CX41" s="662"/>
      <c r="CY41" s="782">
        <f>+R41+J41+F41+N41+V41+Z41+AD41+AH41+AL41+AP41+AT41+BV41+CH41</f>
        <v>671993.01941102196</v>
      </c>
      <c r="CZ41" s="756"/>
      <c r="DA41" s="778">
        <f>+CY41</f>
        <v>671993.01941102196</v>
      </c>
      <c r="DB41" s="781"/>
      <c r="DD41" s="661"/>
      <c r="DE41" s="680"/>
      <c r="DF41" s="630"/>
      <c r="DG41" s="662"/>
      <c r="DH41" s="661"/>
      <c r="DI41" s="680"/>
      <c r="DJ41" s="630"/>
      <c r="DK41" s="662"/>
      <c r="DL41" s="661"/>
      <c r="DM41" s="680"/>
      <c r="DN41" s="630"/>
      <c r="DO41" s="662"/>
      <c r="DP41" s="661"/>
      <c r="DQ41" s="680"/>
      <c r="DR41" s="630"/>
      <c r="DS41" s="662"/>
      <c r="DT41" s="661"/>
      <c r="DU41" s="680"/>
      <c r="DV41" s="630"/>
      <c r="DW41" s="662"/>
      <c r="DX41" s="661"/>
      <c r="DY41" s="680"/>
      <c r="DZ41" s="630"/>
      <c r="EA41" s="662"/>
      <c r="EB41" s="661"/>
      <c r="EC41" s="680"/>
      <c r="ED41" s="630"/>
      <c r="EE41" s="662"/>
      <c r="EF41" s="661"/>
      <c r="EG41" s="680"/>
      <c r="EH41" s="630"/>
      <c r="EI41" s="662"/>
      <c r="EJ41" s="661"/>
      <c r="EK41" s="680"/>
      <c r="EL41" s="630"/>
      <c r="EM41" s="662"/>
      <c r="EN41" s="661"/>
      <c r="EO41" s="680"/>
      <c r="EP41" s="630"/>
      <c r="EQ41" s="662"/>
      <c r="ER41" s="661"/>
      <c r="ES41" s="680"/>
      <c r="ET41" s="630"/>
      <c r="EU41" s="662"/>
      <c r="EW41" s="661"/>
      <c r="EX41" s="680"/>
      <c r="EY41" s="630"/>
      <c r="EZ41" s="662"/>
      <c r="FA41" s="661"/>
      <c r="FB41" s="680"/>
      <c r="FC41" s="630"/>
      <c r="FD41" s="662"/>
    </row>
    <row r="42" spans="1:161">
      <c r="A42" s="753" t="s">
        <v>23</v>
      </c>
      <c r="B42" s="774">
        <f t="shared" si="0"/>
        <v>2007</v>
      </c>
      <c r="C42" s="775"/>
      <c r="D42" s="775"/>
      <c r="E42" s="775"/>
      <c r="F42" s="757"/>
      <c r="G42" s="775"/>
      <c r="H42" s="775"/>
      <c r="I42" s="775"/>
      <c r="J42" s="757"/>
      <c r="K42" s="775">
        <f>+K41</f>
        <v>13438469.49</v>
      </c>
      <c r="L42" s="775">
        <f>+L41</f>
        <v>76354.940284090917</v>
      </c>
      <c r="M42" s="775">
        <f>+K42-L42</f>
        <v>13362114.54971591</v>
      </c>
      <c r="N42" s="757">
        <f>+(((K$29*M42)*(12-K$32)/12))+L42</f>
        <v>698562.29498318466</v>
      </c>
      <c r="O42" s="776"/>
      <c r="P42" s="762"/>
      <c r="Q42" s="775"/>
      <c r="R42" s="757"/>
      <c r="S42" s="661"/>
      <c r="T42" s="680"/>
      <c r="U42" s="630"/>
      <c r="V42" s="662"/>
      <c r="W42" s="661"/>
      <c r="X42" s="680"/>
      <c r="Y42" s="630"/>
      <c r="Z42" s="662"/>
      <c r="AA42" s="661"/>
      <c r="AB42" s="680"/>
      <c r="AC42" s="630"/>
      <c r="AD42" s="662"/>
      <c r="AE42" s="661"/>
      <c r="AF42" s="680"/>
      <c r="AG42" s="630"/>
      <c r="AH42" s="662"/>
      <c r="AI42" s="661"/>
      <c r="AJ42" s="680"/>
      <c r="AK42" s="630"/>
      <c r="AL42" s="662"/>
      <c r="AM42" s="661"/>
      <c r="AN42" s="680"/>
      <c r="AO42" s="630"/>
      <c r="AP42" s="662"/>
      <c r="AQ42" s="661"/>
      <c r="AR42" s="680"/>
      <c r="AS42" s="630"/>
      <c r="AT42" s="662"/>
      <c r="AU42" s="776">
        <f>+AU41</f>
        <v>30000000</v>
      </c>
      <c r="AV42" s="762">
        <f>+AV41</f>
        <v>125000</v>
      </c>
      <c r="AW42" s="775">
        <f t="shared" si="1"/>
        <v>29875000</v>
      </c>
      <c r="AX42" s="757">
        <f>+AU$29*AW42+AV42</f>
        <v>125000</v>
      </c>
      <c r="AY42" s="776">
        <f>+AY41</f>
        <v>20000000</v>
      </c>
      <c r="AZ42" s="762">
        <f>+AZ41</f>
        <v>416666.66666666663</v>
      </c>
      <c r="BA42" s="775">
        <f t="shared" si="2"/>
        <v>19583333.333333332</v>
      </c>
      <c r="BB42" s="757">
        <f>+AY$29*BA42+AZ42</f>
        <v>416666.66666666663</v>
      </c>
      <c r="BC42" s="776"/>
      <c r="BD42" s="775"/>
      <c r="BE42" s="775"/>
      <c r="BF42" s="757"/>
      <c r="BG42" s="776"/>
      <c r="BH42" s="775"/>
      <c r="BI42" s="775"/>
      <c r="BJ42" s="757"/>
      <c r="BK42" s="776"/>
      <c r="BL42" s="775"/>
      <c r="BM42" s="775"/>
      <c r="BN42" s="757"/>
      <c r="BO42" s="776"/>
      <c r="BP42" s="775"/>
      <c r="BQ42" s="775"/>
      <c r="BR42" s="757"/>
      <c r="BS42" s="661"/>
      <c r="BT42" s="680"/>
      <c r="BU42" s="630"/>
      <c r="BV42" s="662"/>
      <c r="BW42" s="661"/>
      <c r="BX42" s="680"/>
      <c r="BY42" s="630"/>
      <c r="BZ42" s="662"/>
      <c r="CA42" s="661"/>
      <c r="CB42" s="680"/>
      <c r="CC42" s="630"/>
      <c r="CD42" s="662"/>
      <c r="CE42" s="661"/>
      <c r="CF42" s="680"/>
      <c r="CG42" s="630"/>
      <c r="CH42" s="662"/>
      <c r="CI42" s="661"/>
      <c r="CJ42" s="680"/>
      <c r="CK42" s="630"/>
      <c r="CL42" s="662"/>
      <c r="CM42" s="661"/>
      <c r="CN42" s="680"/>
      <c r="CO42" s="630"/>
      <c r="CP42" s="662"/>
      <c r="CQ42" s="661"/>
      <c r="CR42" s="680"/>
      <c r="CS42" s="630"/>
      <c r="CT42" s="662"/>
      <c r="CU42" s="661"/>
      <c r="CV42" s="680"/>
      <c r="CW42" s="630"/>
      <c r="CX42" s="662"/>
      <c r="CY42" s="782">
        <f t="shared" ref="CY42:CY50" si="3">+R42+J42+F42+N42+V42+Z42+AD42+AH42+AL42+AP42+AT42+BV42+BZ42+CD42+CH42+CL42</f>
        <v>698562.29498318466</v>
      </c>
      <c r="CZ42" s="779">
        <f>+CY42</f>
        <v>698562.29498318466</v>
      </c>
      <c r="DA42" s="752"/>
      <c r="DB42" s="781"/>
      <c r="DD42" s="661"/>
      <c r="DE42" s="680"/>
      <c r="DF42" s="630"/>
      <c r="DG42" s="662"/>
      <c r="DH42" s="661"/>
      <c r="DI42" s="680"/>
      <c r="DJ42" s="630"/>
      <c r="DK42" s="662"/>
      <c r="DL42" s="661"/>
      <c r="DM42" s="680"/>
      <c r="DN42" s="630"/>
      <c r="DO42" s="662"/>
      <c r="DP42" s="661"/>
      <c r="DQ42" s="680"/>
      <c r="DR42" s="630"/>
      <c r="DS42" s="662"/>
      <c r="DT42" s="661"/>
      <c r="DU42" s="680"/>
      <c r="DV42" s="630"/>
      <c r="DW42" s="662"/>
      <c r="DX42" s="661"/>
      <c r="DY42" s="680"/>
      <c r="DZ42" s="630"/>
      <c r="EA42" s="662"/>
      <c r="EB42" s="661"/>
      <c r="EC42" s="680"/>
      <c r="ED42" s="630"/>
      <c r="EE42" s="662"/>
      <c r="EF42" s="661"/>
      <c r="EG42" s="680"/>
      <c r="EH42" s="630"/>
      <c r="EI42" s="662"/>
      <c r="EJ42" s="661"/>
      <c r="EK42" s="680"/>
      <c r="EL42" s="630"/>
      <c r="EM42" s="662"/>
      <c r="EN42" s="661"/>
      <c r="EO42" s="680"/>
      <c r="EP42" s="630"/>
      <c r="EQ42" s="662"/>
      <c r="ER42" s="661"/>
      <c r="ES42" s="680"/>
      <c r="ET42" s="630"/>
      <c r="EU42" s="662"/>
      <c r="EW42" s="661"/>
      <c r="EX42" s="680"/>
      <c r="EY42" s="630"/>
      <c r="EZ42" s="662"/>
      <c r="FA42" s="661"/>
      <c r="FB42" s="680"/>
      <c r="FC42" s="630"/>
      <c r="FD42" s="662"/>
    </row>
    <row r="43" spans="1:161">
      <c r="A43" s="753" t="s">
        <v>24</v>
      </c>
      <c r="B43" s="774">
        <f t="shared" si="0"/>
        <v>2008</v>
      </c>
      <c r="C43" s="775">
        <f>+C30</f>
        <v>19614847.300000001</v>
      </c>
      <c r="D43" s="775">
        <f>+C$31/12*(12-$C$32)</f>
        <v>111447.99602272728</v>
      </c>
      <c r="E43" s="775">
        <f>+C43-D43</f>
        <v>19503399.303977273</v>
      </c>
      <c r="F43" s="757">
        <f>+(((C$28*E43)*(12-C$32)/12))+D43</f>
        <v>980843.87304830877</v>
      </c>
      <c r="G43" s="775">
        <f>+G30</f>
        <v>5096992.9800000004</v>
      </c>
      <c r="H43" s="775">
        <f>+G$31/12*(12-$G$32)</f>
        <v>57920.374772727271</v>
      </c>
      <c r="I43" s="775">
        <f>+G43-H43</f>
        <v>5039072.605227273</v>
      </c>
      <c r="J43" s="757">
        <f>+(((G$28*I43)*(12-G$32)/12))+H43</f>
        <v>507170.15720667987</v>
      </c>
      <c r="K43" s="775">
        <f>+M41</f>
        <v>13362114.54971591</v>
      </c>
      <c r="L43" s="775">
        <f>+K$31</f>
        <v>305419.76113636367</v>
      </c>
      <c r="M43" s="775">
        <f>+K43-L43</f>
        <v>13056694.788579546</v>
      </c>
      <c r="N43" s="757">
        <f>+K$28*M43+L43</f>
        <v>2633513.7389810542</v>
      </c>
      <c r="O43" s="775"/>
      <c r="P43" s="775"/>
      <c r="Q43" s="775"/>
      <c r="R43" s="757"/>
      <c r="S43" s="630">
        <f>+S30</f>
        <v>2565891.0399999996</v>
      </c>
      <c r="T43" s="630">
        <f>+S$31/12*(12-$S$32)</f>
        <v>48596.421212121204</v>
      </c>
      <c r="U43" s="630">
        <f>+S43-T43</f>
        <v>2517294.6187878782</v>
      </c>
      <c r="V43" s="662">
        <f>+(((S$28*U43)*(12-S$32)/12))+T43</f>
        <v>422638.15084820648</v>
      </c>
      <c r="W43" s="630"/>
      <c r="X43" s="630"/>
      <c r="Y43" s="630"/>
      <c r="Z43" s="662"/>
      <c r="AA43" s="630"/>
      <c r="AB43" s="630"/>
      <c r="AC43" s="630"/>
      <c r="AD43" s="662"/>
      <c r="AE43" s="630"/>
      <c r="AF43" s="630"/>
      <c r="AG43" s="630"/>
      <c r="AH43" s="662"/>
      <c r="AI43" s="630"/>
      <c r="AJ43" s="630"/>
      <c r="AK43" s="630"/>
      <c r="AL43" s="662"/>
      <c r="AM43" s="630"/>
      <c r="AN43" s="630"/>
      <c r="AO43" s="630"/>
      <c r="AP43" s="662"/>
      <c r="AQ43" s="630"/>
      <c r="AR43" s="630"/>
      <c r="AS43" s="630"/>
      <c r="AT43" s="662"/>
      <c r="AU43" s="776">
        <f>+AW42</f>
        <v>29875000</v>
      </c>
      <c r="AV43" s="775">
        <f>+AU$31</f>
        <v>750000</v>
      </c>
      <c r="AW43" s="775">
        <f t="shared" si="1"/>
        <v>29125000</v>
      </c>
      <c r="AX43" s="757">
        <f>+AU$28*AW43+AV43</f>
        <v>750000</v>
      </c>
      <c r="AY43" s="776">
        <f>+BA42</f>
        <v>19583333.333333332</v>
      </c>
      <c r="AZ43" s="775">
        <f>+AY$31</f>
        <v>500000</v>
      </c>
      <c r="BA43" s="775">
        <f t="shared" si="2"/>
        <v>19083333.333333332</v>
      </c>
      <c r="BB43" s="757">
        <f>+AY$28*BA43+AZ43</f>
        <v>500000</v>
      </c>
      <c r="BC43" s="776">
        <f>+BC$30</f>
        <v>30000000</v>
      </c>
      <c r="BD43" s="762">
        <f>+BC$31/12*(12-BC$32)</f>
        <v>500000</v>
      </c>
      <c r="BE43" s="775">
        <f t="shared" ref="BE43:BE76" si="4">+BC43-BD43</f>
        <v>29500000</v>
      </c>
      <c r="BF43" s="757">
        <f>+BC$28*BE43+BD43</f>
        <v>500000</v>
      </c>
      <c r="BG43" s="776">
        <f>+BG$30</f>
        <v>20000000</v>
      </c>
      <c r="BH43" s="762">
        <f>+BG$31/12*(12-BG$32)</f>
        <v>47619.047619047626</v>
      </c>
      <c r="BI43" s="775">
        <f t="shared" ref="BI43:BI76" si="5">+BG43-BH43</f>
        <v>19952380.952380951</v>
      </c>
      <c r="BJ43" s="757">
        <f>+BG$28*BI43+BH43</f>
        <v>47619.047619047626</v>
      </c>
      <c r="BK43" s="776"/>
      <c r="BL43" s="775"/>
      <c r="BM43" s="775"/>
      <c r="BN43" s="757"/>
      <c r="BO43" s="776"/>
      <c r="BP43" s="775"/>
      <c r="BQ43" s="775"/>
      <c r="BR43" s="757"/>
      <c r="BS43" s="630"/>
      <c r="BT43" s="630"/>
      <c r="BU43" s="630"/>
      <c r="BV43" s="662"/>
      <c r="BW43" s="630"/>
      <c r="BX43" s="630"/>
      <c r="BY43" s="630"/>
      <c r="BZ43" s="662"/>
      <c r="CA43" s="630"/>
      <c r="CB43" s="630"/>
      <c r="CC43" s="630"/>
      <c r="CD43" s="662"/>
      <c r="CE43" s="630"/>
      <c r="CF43" s="630"/>
      <c r="CG43" s="630"/>
      <c r="CH43" s="662"/>
      <c r="CI43" s="630"/>
      <c r="CJ43" s="630"/>
      <c r="CK43" s="630"/>
      <c r="CL43" s="662"/>
      <c r="CM43" s="630"/>
      <c r="CN43" s="630"/>
      <c r="CO43" s="630"/>
      <c r="CP43" s="662"/>
      <c r="CQ43" s="630"/>
      <c r="CR43" s="630"/>
      <c r="CS43" s="630"/>
      <c r="CT43" s="662"/>
      <c r="CU43" s="630"/>
      <c r="CV43" s="630"/>
      <c r="CW43" s="630"/>
      <c r="CX43" s="662"/>
      <c r="CY43" s="782">
        <f t="shared" si="3"/>
        <v>4544165.9200842492</v>
      </c>
      <c r="CZ43" s="756"/>
      <c r="DA43" s="778">
        <f>+CY43</f>
        <v>4544165.9200842492</v>
      </c>
      <c r="DB43" s="781"/>
      <c r="DD43" s="661"/>
      <c r="DE43" s="630"/>
      <c r="DF43" s="630"/>
      <c r="DG43" s="662"/>
      <c r="DH43" s="661"/>
      <c r="DI43" s="630"/>
      <c r="DJ43" s="630"/>
      <c r="DK43" s="662"/>
      <c r="DL43" s="661"/>
      <c r="DM43" s="630"/>
      <c r="DN43" s="630"/>
      <c r="DO43" s="662"/>
      <c r="DP43" s="661"/>
      <c r="DQ43" s="630"/>
      <c r="DR43" s="630"/>
      <c r="DS43" s="662"/>
      <c r="DT43" s="661"/>
      <c r="DU43" s="630"/>
      <c r="DV43" s="630"/>
      <c r="DW43" s="662"/>
      <c r="DX43" s="661"/>
      <c r="DY43" s="630"/>
      <c r="DZ43" s="630"/>
      <c r="EA43" s="662"/>
      <c r="EB43" s="661"/>
      <c r="EC43" s="630"/>
      <c r="ED43" s="630"/>
      <c r="EE43" s="662"/>
      <c r="EF43" s="661"/>
      <c r="EG43" s="630"/>
      <c r="EH43" s="630"/>
      <c r="EI43" s="662"/>
      <c r="EJ43" s="661"/>
      <c r="EK43" s="630"/>
      <c r="EL43" s="630"/>
      <c r="EM43" s="662"/>
      <c r="EN43" s="661"/>
      <c r="EO43" s="630"/>
      <c r="EP43" s="630"/>
      <c r="EQ43" s="662"/>
      <c r="ER43" s="661"/>
      <c r="ES43" s="630"/>
      <c r="ET43" s="630"/>
      <c r="EU43" s="662"/>
      <c r="EW43" s="661"/>
      <c r="EX43" s="630"/>
      <c r="EY43" s="630"/>
      <c r="EZ43" s="662"/>
      <c r="FA43" s="661"/>
      <c r="FB43" s="630"/>
      <c r="FC43" s="630"/>
      <c r="FD43" s="662"/>
    </row>
    <row r="44" spans="1:161">
      <c r="A44" s="753" t="s">
        <v>23</v>
      </c>
      <c r="B44" s="774">
        <f t="shared" si="0"/>
        <v>2008</v>
      </c>
      <c r="C44" s="775">
        <f>+C43</f>
        <v>19614847.300000001</v>
      </c>
      <c r="D44" s="775">
        <f>+D43</f>
        <v>111447.99602272728</v>
      </c>
      <c r="E44" s="775">
        <f>+C44-D44</f>
        <v>19503399.303977273</v>
      </c>
      <c r="F44" s="757">
        <f>+(((C$29*E44)*(12-C$32)/12))+D44</f>
        <v>1019624.5008279379</v>
      </c>
      <c r="G44" s="775">
        <f>+G43</f>
        <v>5096992.9800000004</v>
      </c>
      <c r="H44" s="775">
        <f>+H43</f>
        <v>57920.374772727271</v>
      </c>
      <c r="I44" s="775">
        <f>+G44-H44</f>
        <v>5039072.605227273</v>
      </c>
      <c r="J44" s="757">
        <f>+(((G$29*I44)*(12-G$32)/12))+H44</f>
        <v>527209.57659322687</v>
      </c>
      <c r="K44" s="775">
        <f>+K43</f>
        <v>13362114.54971591</v>
      </c>
      <c r="L44" s="775">
        <f>+L43</f>
        <v>305419.76113636367</v>
      </c>
      <c r="M44" s="775">
        <f>+K44-L44</f>
        <v>13056694.788579546</v>
      </c>
      <c r="N44" s="757">
        <f>+K$29*M44+L44</f>
        <v>2737361.6503602499</v>
      </c>
      <c r="O44" s="775"/>
      <c r="P44" s="775"/>
      <c r="Q44" s="775"/>
      <c r="R44" s="757"/>
      <c r="S44" s="630">
        <f>+S43</f>
        <v>2565891.0399999996</v>
      </c>
      <c r="T44" s="630">
        <f>+T43</f>
        <v>48596.421212121204</v>
      </c>
      <c r="U44" s="630">
        <f>+S44-T44</f>
        <v>2517294.6187878782</v>
      </c>
      <c r="V44" s="662">
        <f>+(((S$29*U44)*(12-S$32)/12))+T44</f>
        <v>439322.80909698119</v>
      </c>
      <c r="W44" s="630"/>
      <c r="X44" s="630"/>
      <c r="Y44" s="630"/>
      <c r="Z44" s="662"/>
      <c r="AA44" s="630"/>
      <c r="AB44" s="630"/>
      <c r="AC44" s="630"/>
      <c r="AD44" s="662"/>
      <c r="AE44" s="630"/>
      <c r="AF44" s="630"/>
      <c r="AG44" s="630"/>
      <c r="AH44" s="662"/>
      <c r="AI44" s="630"/>
      <c r="AJ44" s="630"/>
      <c r="AK44" s="630"/>
      <c r="AL44" s="662"/>
      <c r="AM44" s="630"/>
      <c r="AN44" s="630"/>
      <c r="AO44" s="630"/>
      <c r="AP44" s="662"/>
      <c r="AQ44" s="630"/>
      <c r="AR44" s="630"/>
      <c r="AS44" s="630"/>
      <c r="AT44" s="662"/>
      <c r="AU44" s="776">
        <f>+AU43</f>
        <v>29875000</v>
      </c>
      <c r="AV44" s="775">
        <f>+AV43</f>
        <v>750000</v>
      </c>
      <c r="AW44" s="775">
        <f t="shared" si="1"/>
        <v>29125000</v>
      </c>
      <c r="AX44" s="757">
        <f>+AU$29*AW44+AV44</f>
        <v>750000</v>
      </c>
      <c r="AY44" s="776">
        <f>+AY43</f>
        <v>19583333.333333332</v>
      </c>
      <c r="AZ44" s="775">
        <f>+AZ43</f>
        <v>500000</v>
      </c>
      <c r="BA44" s="775">
        <f t="shared" si="2"/>
        <v>19083333.333333332</v>
      </c>
      <c r="BB44" s="757">
        <f>+AY$29*BA44+AZ44</f>
        <v>500000</v>
      </c>
      <c r="BC44" s="776">
        <f>+BC43</f>
        <v>30000000</v>
      </c>
      <c r="BD44" s="762">
        <f>+BD43</f>
        <v>500000</v>
      </c>
      <c r="BE44" s="775">
        <f t="shared" si="4"/>
        <v>29500000</v>
      </c>
      <c r="BF44" s="757">
        <f>+BC$29*BE44+BD44</f>
        <v>500000</v>
      </c>
      <c r="BG44" s="776">
        <f>+BG43</f>
        <v>20000000</v>
      </c>
      <c r="BH44" s="762">
        <f>+BH43</f>
        <v>47619.047619047626</v>
      </c>
      <c r="BI44" s="775">
        <f t="shared" si="5"/>
        <v>19952380.952380951</v>
      </c>
      <c r="BJ44" s="757">
        <f>+BG$29*BI44+BH44</f>
        <v>47619.047619047626</v>
      </c>
      <c r="BK44" s="776"/>
      <c r="BL44" s="775"/>
      <c r="BM44" s="775"/>
      <c r="BN44" s="757"/>
      <c r="BO44" s="776"/>
      <c r="BP44" s="775"/>
      <c r="BQ44" s="775"/>
      <c r="BR44" s="757"/>
      <c r="BS44" s="630"/>
      <c r="BT44" s="630"/>
      <c r="BU44" s="630"/>
      <c r="BV44" s="662"/>
      <c r="BW44" s="630"/>
      <c r="BX44" s="630"/>
      <c r="BY44" s="630"/>
      <c r="BZ44" s="662"/>
      <c r="CA44" s="630"/>
      <c r="CB44" s="630"/>
      <c r="CC44" s="630"/>
      <c r="CD44" s="662"/>
      <c r="CE44" s="630"/>
      <c r="CF44" s="630"/>
      <c r="CG44" s="630"/>
      <c r="CH44" s="662"/>
      <c r="CI44" s="630"/>
      <c r="CJ44" s="630"/>
      <c r="CK44" s="630"/>
      <c r="CL44" s="662"/>
      <c r="CM44" s="630"/>
      <c r="CN44" s="630"/>
      <c r="CO44" s="630"/>
      <c r="CP44" s="662"/>
      <c r="CQ44" s="630"/>
      <c r="CR44" s="630"/>
      <c r="CS44" s="630"/>
      <c r="CT44" s="662"/>
      <c r="CU44" s="630"/>
      <c r="CV44" s="630"/>
      <c r="CW44" s="630"/>
      <c r="CX44" s="662"/>
      <c r="CY44" s="782">
        <f t="shared" si="3"/>
        <v>4723518.5368783958</v>
      </c>
      <c r="CZ44" s="779">
        <f>+CY44</f>
        <v>4723518.5368783958</v>
      </c>
      <c r="DA44" s="752"/>
      <c r="DB44" s="781"/>
      <c r="DD44" s="661"/>
      <c r="DE44" s="630"/>
      <c r="DF44" s="630"/>
      <c r="DG44" s="662"/>
      <c r="DH44" s="661"/>
      <c r="DI44" s="630"/>
      <c r="DJ44" s="630"/>
      <c r="DK44" s="662"/>
      <c r="DL44" s="661"/>
      <c r="DM44" s="630"/>
      <c r="DN44" s="630"/>
      <c r="DO44" s="662"/>
      <c r="DP44" s="661"/>
      <c r="DQ44" s="630"/>
      <c r="DR44" s="630"/>
      <c r="DS44" s="662"/>
      <c r="DT44" s="661"/>
      <c r="DU44" s="630"/>
      <c r="DV44" s="630"/>
      <c r="DW44" s="662"/>
      <c r="DX44" s="661"/>
      <c r="DY44" s="630"/>
      <c r="DZ44" s="630"/>
      <c r="EA44" s="662"/>
      <c r="EB44" s="661"/>
      <c r="EC44" s="630"/>
      <c r="ED44" s="630"/>
      <c r="EE44" s="662"/>
      <c r="EF44" s="661"/>
      <c r="EG44" s="630"/>
      <c r="EH44" s="630"/>
      <c r="EI44" s="662"/>
      <c r="EJ44" s="661"/>
      <c r="EK44" s="630"/>
      <c r="EL44" s="630"/>
      <c r="EM44" s="662"/>
      <c r="EN44" s="661"/>
      <c r="EO44" s="630"/>
      <c r="EP44" s="630"/>
      <c r="EQ44" s="662"/>
      <c r="ER44" s="661"/>
      <c r="ES44" s="630"/>
      <c r="ET44" s="630"/>
      <c r="EU44" s="662"/>
      <c r="EW44" s="661"/>
      <c r="EX44" s="630"/>
      <c r="EY44" s="630"/>
      <c r="EZ44" s="662"/>
      <c r="FA44" s="661"/>
      <c r="FB44" s="630"/>
      <c r="FC44" s="630"/>
      <c r="FD44" s="662"/>
    </row>
    <row r="45" spans="1:161">
      <c r="A45" s="753" t="s">
        <v>24</v>
      </c>
      <c r="B45" s="774">
        <f t="shared" si="0"/>
        <v>2009</v>
      </c>
      <c r="C45" s="775">
        <f>+E44</f>
        <v>19503399.303977273</v>
      </c>
      <c r="D45" s="775">
        <f>+C$31</f>
        <v>445791.98409090913</v>
      </c>
      <c r="E45" s="775">
        <f t="shared" ref="E45:E108" si="6">+C45-D45</f>
        <v>19057607.319886364</v>
      </c>
      <c r="F45" s="757">
        <f>+C$28*E45+D45</f>
        <v>3843887.8691508966</v>
      </c>
      <c r="G45" s="775">
        <f>+I44</f>
        <v>5039072.605227273</v>
      </c>
      <c r="H45" s="775">
        <f>+G$31</f>
        <v>115840.74954545456</v>
      </c>
      <c r="I45" s="775">
        <f t="shared" ref="I45:I108" si="7">+G45-H45</f>
        <v>4923231.855681818</v>
      </c>
      <c r="J45" s="757">
        <f>+G$28*I45+H45</f>
        <v>993685.15200260328</v>
      </c>
      <c r="K45" s="775">
        <f>+M44</f>
        <v>13056694.788579546</v>
      </c>
      <c r="L45" s="775">
        <f>+K$31</f>
        <v>305419.76113636367</v>
      </c>
      <c r="M45" s="775">
        <f t="shared" ref="M45:M108" si="8">+K45-L45</f>
        <v>12751275.027443182</v>
      </c>
      <c r="N45" s="757">
        <f>+K$28*M45+L45</f>
        <v>2579055.40031802</v>
      </c>
      <c r="O45" s="775">
        <f>+O30</f>
        <v>5249918</v>
      </c>
      <c r="P45" s="775">
        <f>+O$31/12*(12-$O$32)</f>
        <v>19886.053030303028</v>
      </c>
      <c r="Q45" s="775">
        <f>+O45-P45</f>
        <v>5230031.9469696973</v>
      </c>
      <c r="R45" s="757">
        <f>+(((O$28*Q45)*(12-O$32)/12))+P45</f>
        <v>175310.86353091078</v>
      </c>
      <c r="S45" s="661">
        <f>+U44</f>
        <v>2517294.6187878782</v>
      </c>
      <c r="T45" s="630">
        <f>+S$31</f>
        <v>58315.705454545445</v>
      </c>
      <c r="U45" s="630">
        <f>+S45-T45</f>
        <v>2458978.9133333326</v>
      </c>
      <c r="V45" s="662">
        <f>+S$28*U45+T45</f>
        <v>496767.70976927702</v>
      </c>
      <c r="W45" s="630">
        <f>+W30</f>
        <v>30504919</v>
      </c>
      <c r="X45" s="630">
        <f>+W$31/12*(12-$W$32)</f>
        <v>115548.93560606061</v>
      </c>
      <c r="Y45" s="630">
        <f>+W45-X45</f>
        <v>30389370.064393938</v>
      </c>
      <c r="Z45" s="662">
        <f>+(((W$28*Y45)*(12-W$32)/12))+X45</f>
        <v>1018652.8040686515</v>
      </c>
      <c r="AA45" s="630">
        <f>+AA30</f>
        <v>19836665</v>
      </c>
      <c r="AB45" s="630">
        <f>+AA$31/12*(12-$AA$32)</f>
        <v>37569.441287878792</v>
      </c>
      <c r="AC45" s="630">
        <f>+AA45-AB45</f>
        <v>19799095.558712121</v>
      </c>
      <c r="AD45" s="662">
        <f>+(((AA$28*AC45)*(12-AA$32)/12))+AB45</f>
        <v>331761.78145888291</v>
      </c>
      <c r="AE45" s="630">
        <f>+AE30</f>
        <v>202307</v>
      </c>
      <c r="AF45" s="630">
        <f>+AE$31/12*(12-$AE$32)</f>
        <v>2298.943181818182</v>
      </c>
      <c r="AG45" s="630">
        <f>+AE45-AF45</f>
        <v>200008.05681818182</v>
      </c>
      <c r="AH45" s="662">
        <f>+(((AE$28*AG45)*(12-AE$32)/12))+AF45</f>
        <v>20130.314755507432</v>
      </c>
      <c r="AI45" s="630"/>
      <c r="AJ45" s="630"/>
      <c r="AK45" s="630"/>
      <c r="AL45" s="662"/>
      <c r="AM45" s="630"/>
      <c r="AN45" s="630"/>
      <c r="AO45" s="630"/>
      <c r="AP45" s="662"/>
      <c r="AQ45" s="630"/>
      <c r="AR45" s="630"/>
      <c r="AS45" s="630"/>
      <c r="AT45" s="662"/>
      <c r="AU45" s="776">
        <f>+AW44</f>
        <v>29125000</v>
      </c>
      <c r="AV45" s="775">
        <f>+AU$31</f>
        <v>750000</v>
      </c>
      <c r="AW45" s="775">
        <f t="shared" si="1"/>
        <v>28375000</v>
      </c>
      <c r="AX45" s="757">
        <f>+AU$28*AW45+AV45</f>
        <v>750000</v>
      </c>
      <c r="AY45" s="776">
        <f>+BA44</f>
        <v>19083333.333333332</v>
      </c>
      <c r="AZ45" s="775">
        <f>+AY$31</f>
        <v>500000</v>
      </c>
      <c r="BA45" s="775">
        <f t="shared" si="2"/>
        <v>18583333.333333332</v>
      </c>
      <c r="BB45" s="757">
        <f>+AY$28*BA45+AZ45</f>
        <v>500000</v>
      </c>
      <c r="BC45" s="776">
        <f>+BE44</f>
        <v>29500000</v>
      </c>
      <c r="BD45" s="775">
        <f>+BC$31</f>
        <v>750000</v>
      </c>
      <c r="BE45" s="775">
        <f t="shared" si="4"/>
        <v>28750000</v>
      </c>
      <c r="BF45" s="757">
        <f>+BC$28*BE45+BD45</f>
        <v>750000</v>
      </c>
      <c r="BG45" s="776">
        <f>+BI44</f>
        <v>19952380.952380951</v>
      </c>
      <c r="BH45" s="775">
        <f>+BG$31</f>
        <v>571428.57142857148</v>
      </c>
      <c r="BI45" s="775">
        <f t="shared" si="5"/>
        <v>19380952.380952381</v>
      </c>
      <c r="BJ45" s="757">
        <f>+BG$28*BI45+BH45</f>
        <v>571428.57142857148</v>
      </c>
      <c r="BK45" s="776">
        <f>+BK$30</f>
        <v>30000000</v>
      </c>
      <c r="BL45" s="762">
        <f>+BK$31/12*(12-BK$32)</f>
        <v>400000</v>
      </c>
      <c r="BM45" s="775">
        <f t="shared" ref="BM45:BM76" si="9">+BK45-BL45</f>
        <v>29600000</v>
      </c>
      <c r="BN45" s="757">
        <f>+BK$28*BM45+BL45</f>
        <v>400000</v>
      </c>
      <c r="BO45" s="776">
        <f>+BO$30</f>
        <v>20000000</v>
      </c>
      <c r="BP45" s="762">
        <f>+BO$31/12*(12-BO$32)</f>
        <v>166666.66666666666</v>
      </c>
      <c r="BQ45" s="775">
        <f t="shared" ref="BQ45:BQ76" si="10">+BO45-BP45</f>
        <v>19833333.333333332</v>
      </c>
      <c r="BR45" s="757">
        <f>+BO$28*BQ45+BP45</f>
        <v>166666.66666666666</v>
      </c>
      <c r="BS45" s="630"/>
      <c r="BT45" s="630"/>
      <c r="BU45" s="630"/>
      <c r="BV45" s="662"/>
      <c r="BW45" s="630"/>
      <c r="BX45" s="630"/>
      <c r="BY45" s="630"/>
      <c r="BZ45" s="662"/>
      <c r="CA45" s="630"/>
      <c r="CB45" s="630"/>
      <c r="CC45" s="630"/>
      <c r="CD45" s="662"/>
      <c r="CE45" s="630"/>
      <c r="CF45" s="630"/>
      <c r="CG45" s="630"/>
      <c r="CH45" s="662"/>
      <c r="CI45" s="630"/>
      <c r="CJ45" s="630"/>
      <c r="CK45" s="630"/>
      <c r="CL45" s="662"/>
      <c r="CM45" s="630"/>
      <c r="CN45" s="630"/>
      <c r="CO45" s="630"/>
      <c r="CP45" s="662"/>
      <c r="CQ45" s="630"/>
      <c r="CR45" s="630"/>
      <c r="CS45" s="630"/>
      <c r="CT45" s="662"/>
      <c r="CU45" s="630"/>
      <c r="CV45" s="630"/>
      <c r="CW45" s="630"/>
      <c r="CX45" s="662"/>
      <c r="CY45" s="782">
        <f t="shared" si="3"/>
        <v>9459251.8950547483</v>
      </c>
      <c r="CZ45" s="756"/>
      <c r="DA45" s="778">
        <f>+CY45</f>
        <v>9459251.8950547483</v>
      </c>
      <c r="DD45" s="661"/>
      <c r="DE45" s="630"/>
      <c r="DF45" s="630"/>
      <c r="DG45" s="662"/>
      <c r="DH45" s="661"/>
      <c r="DI45" s="630"/>
      <c r="DJ45" s="630"/>
      <c r="DK45" s="662"/>
      <c r="DL45" s="661"/>
      <c r="DM45" s="630"/>
      <c r="DN45" s="630"/>
      <c r="DO45" s="662"/>
      <c r="DP45" s="661"/>
      <c r="DQ45" s="630"/>
      <c r="DR45" s="630"/>
      <c r="DS45" s="662"/>
      <c r="DT45" s="661"/>
      <c r="DU45" s="630"/>
      <c r="DV45" s="630"/>
      <c r="DW45" s="662"/>
      <c r="DX45" s="661"/>
      <c r="DY45" s="630"/>
      <c r="DZ45" s="630"/>
      <c r="EA45" s="662"/>
      <c r="EB45" s="661"/>
      <c r="EC45" s="630"/>
      <c r="ED45" s="630"/>
      <c r="EE45" s="662"/>
      <c r="EF45" s="661"/>
      <c r="EG45" s="630"/>
      <c r="EH45" s="630"/>
      <c r="EI45" s="662"/>
      <c r="EJ45" s="661"/>
      <c r="EK45" s="630"/>
      <c r="EL45" s="630"/>
      <c r="EM45" s="662"/>
      <c r="EN45" s="661"/>
      <c r="EO45" s="630"/>
      <c r="EP45" s="630"/>
      <c r="EQ45" s="662"/>
      <c r="ER45" s="661"/>
      <c r="ES45" s="630"/>
      <c r="ET45" s="630"/>
      <c r="EU45" s="662"/>
      <c r="EW45" s="661"/>
      <c r="EX45" s="630"/>
      <c r="EY45" s="630"/>
      <c r="EZ45" s="662"/>
      <c r="FA45" s="661"/>
      <c r="FB45" s="630"/>
      <c r="FC45" s="630"/>
      <c r="FD45" s="662"/>
    </row>
    <row r="46" spans="1:161">
      <c r="A46" s="753" t="s">
        <v>23</v>
      </c>
      <c r="B46" s="774">
        <f t="shared" si="0"/>
        <v>2009</v>
      </c>
      <c r="C46" s="775">
        <f>+C45</f>
        <v>19503399.303977273</v>
      </c>
      <c r="D46" s="775">
        <f>+D45</f>
        <v>445791.98409090913</v>
      </c>
      <c r="E46" s="775">
        <f t="shared" si="6"/>
        <v>19057607.319886364</v>
      </c>
      <c r="F46" s="757">
        <f>+C$29*E46+D46</f>
        <v>3995464.7228724174</v>
      </c>
      <c r="G46" s="775">
        <f>+G45</f>
        <v>5039072.605227273</v>
      </c>
      <c r="H46" s="775">
        <f>+H45</f>
        <v>115840.74954545456</v>
      </c>
      <c r="I46" s="775">
        <f t="shared" si="7"/>
        <v>4923231.855681818</v>
      </c>
      <c r="J46" s="757">
        <f>+G$29*I46+H46</f>
        <v>1032842.6381602237</v>
      </c>
      <c r="K46" s="775">
        <f>+K45</f>
        <v>13056694.788579546</v>
      </c>
      <c r="L46" s="775">
        <f>+L45</f>
        <v>305419.76113636367</v>
      </c>
      <c r="M46" s="775">
        <f t="shared" si="8"/>
        <v>12751275.027443182</v>
      </c>
      <c r="N46" s="757">
        <f>+K$29*M46+L46</f>
        <v>2680474.1207877612</v>
      </c>
      <c r="O46" s="775">
        <f>+O45</f>
        <v>5249918</v>
      </c>
      <c r="P46" s="775">
        <f>+P45</f>
        <v>19886.053030303028</v>
      </c>
      <c r="Q46" s="775">
        <f>+O46-P46</f>
        <v>5230031.9469696973</v>
      </c>
      <c r="R46" s="757">
        <f>+(((O$29*Q46)*(12-O$32)/12))+P46</f>
        <v>182243.80614430908</v>
      </c>
      <c r="S46" s="661">
        <f>+S45</f>
        <v>2517294.6187878782</v>
      </c>
      <c r="T46" s="630">
        <f>+T45</f>
        <v>58315.705454545445</v>
      </c>
      <c r="U46" s="630">
        <f>+S46-T46</f>
        <v>2458978.9133333326</v>
      </c>
      <c r="V46" s="662">
        <f>+S$29*U46+T46</f>
        <v>516325.47905239678</v>
      </c>
      <c r="W46" s="630">
        <f>+W45</f>
        <v>30504919</v>
      </c>
      <c r="X46" s="630">
        <f>+X45</f>
        <v>115548.93560606061</v>
      </c>
      <c r="Y46" s="630">
        <f>+W46-X46</f>
        <v>30389370.064393938</v>
      </c>
      <c r="Z46" s="662">
        <f>+(((W$29*Y46)*(12-W$32)/12))+X46</f>
        <v>1058937.0242894939</v>
      </c>
      <c r="AA46" s="630">
        <f>+AA45</f>
        <v>19836665</v>
      </c>
      <c r="AB46" s="630">
        <f>+AB45</f>
        <v>37569.441287878792</v>
      </c>
      <c r="AC46" s="630">
        <f>+AA46-AB46</f>
        <v>19799095.558712121</v>
      </c>
      <c r="AD46" s="662">
        <f>+(((AA$29*AC46)*(12-AA$32)/12))+AB46</f>
        <v>344884.64520977001</v>
      </c>
      <c r="AE46" s="630">
        <f>+AE45</f>
        <v>202307</v>
      </c>
      <c r="AF46" s="630">
        <f>+AF45</f>
        <v>2298.943181818182</v>
      </c>
      <c r="AG46" s="630">
        <f>+AE46-AF46</f>
        <v>200008.05681818182</v>
      </c>
      <c r="AH46" s="662">
        <f>+(((AE$29*AG46)*(12-AE$32)/12))+AF46</f>
        <v>20925.708202926726</v>
      </c>
      <c r="AI46" s="630"/>
      <c r="AJ46" s="630"/>
      <c r="AK46" s="630"/>
      <c r="AL46" s="662"/>
      <c r="AM46" s="630"/>
      <c r="AN46" s="630"/>
      <c r="AO46" s="630"/>
      <c r="AP46" s="662"/>
      <c r="AQ46" s="630"/>
      <c r="AR46" s="630"/>
      <c r="AS46" s="630"/>
      <c r="AT46" s="662"/>
      <c r="AU46" s="776">
        <f>+AU45</f>
        <v>29125000</v>
      </c>
      <c r="AV46" s="775">
        <f>+AV45</f>
        <v>750000</v>
      </c>
      <c r="AW46" s="775">
        <f t="shared" si="1"/>
        <v>28375000</v>
      </c>
      <c r="AX46" s="757">
        <f>+AU$29*AW46+AV46</f>
        <v>750000</v>
      </c>
      <c r="AY46" s="776">
        <f>+AY45</f>
        <v>19083333.333333332</v>
      </c>
      <c r="AZ46" s="775">
        <f>+AZ45</f>
        <v>500000</v>
      </c>
      <c r="BA46" s="775">
        <f t="shared" si="2"/>
        <v>18583333.333333332</v>
      </c>
      <c r="BB46" s="757">
        <f>+AY$29*BA46+AZ46</f>
        <v>500000</v>
      </c>
      <c r="BC46" s="776">
        <f>+BC45</f>
        <v>29500000</v>
      </c>
      <c r="BD46" s="775">
        <f>+BD45</f>
        <v>750000</v>
      </c>
      <c r="BE46" s="775">
        <f t="shared" si="4"/>
        <v>28750000</v>
      </c>
      <c r="BF46" s="757">
        <f>+BC$29*BE46+BD46</f>
        <v>750000</v>
      </c>
      <c r="BG46" s="776">
        <f>+BG45</f>
        <v>19952380.952380951</v>
      </c>
      <c r="BH46" s="775">
        <f>+BH45</f>
        <v>571428.57142857148</v>
      </c>
      <c r="BI46" s="775">
        <f t="shared" si="5"/>
        <v>19380952.380952381</v>
      </c>
      <c r="BJ46" s="757">
        <f>+BG$29*BI46+BH46</f>
        <v>571428.57142857148</v>
      </c>
      <c r="BK46" s="776">
        <f>+BK45</f>
        <v>30000000</v>
      </c>
      <c r="BL46" s="762">
        <f>+BL45</f>
        <v>400000</v>
      </c>
      <c r="BM46" s="775">
        <f t="shared" si="9"/>
        <v>29600000</v>
      </c>
      <c r="BN46" s="757">
        <f>+BK$29*BM46+BL46</f>
        <v>400000</v>
      </c>
      <c r="BO46" s="776">
        <f>+BO45</f>
        <v>20000000</v>
      </c>
      <c r="BP46" s="762">
        <f>+BP45</f>
        <v>166666.66666666666</v>
      </c>
      <c r="BQ46" s="775">
        <f t="shared" si="10"/>
        <v>19833333.333333332</v>
      </c>
      <c r="BR46" s="757">
        <f>+BO$29*BQ46+BP46</f>
        <v>166666.66666666666</v>
      </c>
      <c r="BS46" s="630"/>
      <c r="BT46" s="630"/>
      <c r="BU46" s="630"/>
      <c r="BV46" s="662"/>
      <c r="BW46" s="630"/>
      <c r="BX46" s="630"/>
      <c r="BY46" s="630"/>
      <c r="BZ46" s="662"/>
      <c r="CA46" s="630"/>
      <c r="CB46" s="630"/>
      <c r="CC46" s="630"/>
      <c r="CD46" s="662"/>
      <c r="CE46" s="630"/>
      <c r="CF46" s="630"/>
      <c r="CG46" s="630"/>
      <c r="CH46" s="662"/>
      <c r="CI46" s="630"/>
      <c r="CJ46" s="630"/>
      <c r="CK46" s="630"/>
      <c r="CL46" s="662"/>
      <c r="CM46" s="630"/>
      <c r="CN46" s="630"/>
      <c r="CO46" s="630"/>
      <c r="CP46" s="662"/>
      <c r="CQ46" s="630"/>
      <c r="CR46" s="630"/>
      <c r="CS46" s="630"/>
      <c r="CT46" s="662"/>
      <c r="CU46" s="630"/>
      <c r="CV46" s="630"/>
      <c r="CW46" s="630"/>
      <c r="CX46" s="662"/>
      <c r="CY46" s="782">
        <f t="shared" si="3"/>
        <v>9832098.1447193008</v>
      </c>
      <c r="CZ46" s="779">
        <f>+CY46</f>
        <v>9832098.1447193008</v>
      </c>
      <c r="DA46" s="752"/>
      <c r="DB46" s="781"/>
      <c r="DD46" s="661"/>
      <c r="DE46" s="630"/>
      <c r="DF46" s="630"/>
      <c r="DG46" s="662"/>
      <c r="DH46" s="661"/>
      <c r="DI46" s="630"/>
      <c r="DJ46" s="630"/>
      <c r="DK46" s="662"/>
      <c r="DL46" s="661"/>
      <c r="DM46" s="630"/>
      <c r="DN46" s="630"/>
      <c r="DO46" s="662"/>
      <c r="DP46" s="661"/>
      <c r="DQ46" s="630"/>
      <c r="DR46" s="630"/>
      <c r="DS46" s="662"/>
      <c r="DT46" s="661"/>
      <c r="DU46" s="630"/>
      <c r="DV46" s="630"/>
      <c r="DW46" s="662"/>
      <c r="DX46" s="661"/>
      <c r="DY46" s="630"/>
      <c r="DZ46" s="630"/>
      <c r="EA46" s="662"/>
      <c r="EB46" s="661"/>
      <c r="EC46" s="630"/>
      <c r="ED46" s="630"/>
      <c r="EE46" s="662"/>
      <c r="EF46" s="661"/>
      <c r="EG46" s="630"/>
      <c r="EH46" s="630"/>
      <c r="EI46" s="662"/>
      <c r="EJ46" s="661"/>
      <c r="EK46" s="630"/>
      <c r="EL46" s="630"/>
      <c r="EM46" s="662"/>
      <c r="EN46" s="661"/>
      <c r="EO46" s="630"/>
      <c r="EP46" s="630"/>
      <c r="EQ46" s="662"/>
      <c r="ER46" s="661"/>
      <c r="ES46" s="630"/>
      <c r="ET46" s="630"/>
      <c r="EU46" s="662"/>
      <c r="EW46" s="661"/>
      <c r="EX46" s="630"/>
      <c r="EY46" s="630"/>
      <c r="EZ46" s="662"/>
      <c r="FA46" s="661"/>
      <c r="FB46" s="630"/>
      <c r="FC46" s="630"/>
      <c r="FD46" s="662"/>
    </row>
    <row r="47" spans="1:161">
      <c r="A47" s="753" t="s">
        <v>24</v>
      </c>
      <c r="B47" s="774">
        <f t="shared" si="0"/>
        <v>2010</v>
      </c>
      <c r="C47" s="775">
        <f>+E46</f>
        <v>19057607.319886364</v>
      </c>
      <c r="D47" s="775">
        <f>+C$31</f>
        <v>445791.98409090913</v>
      </c>
      <c r="E47" s="775">
        <f t="shared" si="6"/>
        <v>18611815.335795455</v>
      </c>
      <c r="F47" s="757">
        <f>+C$28*E47+D47</f>
        <v>3764400.2461085571</v>
      </c>
      <c r="G47" s="775">
        <f>+I46</f>
        <v>4923231.855681818</v>
      </c>
      <c r="H47" s="775">
        <f>+G$31</f>
        <v>115840.74954545456</v>
      </c>
      <c r="I47" s="775">
        <f t="shared" si="7"/>
        <v>4807391.106136363</v>
      </c>
      <c r="J47" s="757">
        <f>+G$28*I47+H47</f>
        <v>973029.98959184671</v>
      </c>
      <c r="K47" s="775">
        <f>+M46</f>
        <v>12751275.027443182</v>
      </c>
      <c r="L47" s="775">
        <f>+K$31</f>
        <v>305419.76113636367</v>
      </c>
      <c r="M47" s="775">
        <f t="shared" si="8"/>
        <v>12445855.266306818</v>
      </c>
      <c r="N47" s="757">
        <f>+K$28*M47+L47</f>
        <v>2524597.0616549863</v>
      </c>
      <c r="O47" s="775">
        <f>+Q46</f>
        <v>5230031.9469696973</v>
      </c>
      <c r="P47" s="775">
        <f>+O$31</f>
        <v>119316.31818181818</v>
      </c>
      <c r="Q47" s="775">
        <f t="shared" ref="Q47:Q110" si="11">+O47-P47</f>
        <v>5110715.6287878789</v>
      </c>
      <c r="R47" s="757">
        <f>+O$28*Q47+P47</f>
        <v>1030590.3021815792</v>
      </c>
      <c r="S47" s="661">
        <f>+U46</f>
        <v>2458978.9133333326</v>
      </c>
      <c r="T47" s="630">
        <f>+S$31</f>
        <v>58315.705454545445</v>
      </c>
      <c r="U47" s="630">
        <f t="shared" ref="U47:U110" si="12">+S47-T47</f>
        <v>2400663.2078787871</v>
      </c>
      <c r="V47" s="662">
        <f>+S$28*U47+T47</f>
        <v>486369.63852070627</v>
      </c>
      <c r="W47" s="630">
        <f>+Y46</f>
        <v>30389370.064393938</v>
      </c>
      <c r="X47" s="630">
        <f>+W$31</f>
        <v>693293.61363636365</v>
      </c>
      <c r="Y47" s="630">
        <f t="shared" ref="Y47:Y110" si="13">+W47-X47</f>
        <v>29696076.450757574</v>
      </c>
      <c r="Z47" s="662">
        <f>+W$28*Y47+X47</f>
        <v>5988298.043937942</v>
      </c>
      <c r="AA47" s="630">
        <f>+AC46</f>
        <v>19799095.558712121</v>
      </c>
      <c r="AB47" s="630">
        <f>+AA$31</f>
        <v>450833.29545454547</v>
      </c>
      <c r="AC47" s="630">
        <f t="shared" ref="AC47:AC110" si="14">+AA47-AB47</f>
        <v>19348262.263257574</v>
      </c>
      <c r="AD47" s="662">
        <f>+AA$28*AC47+AB47</f>
        <v>3900754.8557141377</v>
      </c>
      <c r="AE47" s="630">
        <f>+AG46</f>
        <v>200008.05681818182</v>
      </c>
      <c r="AF47" s="630">
        <f>+AE$31</f>
        <v>4597.886363636364</v>
      </c>
      <c r="AG47" s="630">
        <f t="shared" ref="AG47:AG110" si="15">+AE47-AF47</f>
        <v>195410.17045454547</v>
      </c>
      <c r="AH47" s="662">
        <f>+AE$28*AG47+AF47</f>
        <v>39440.796335213061</v>
      </c>
      <c r="AI47" s="630">
        <f>+AI30</f>
        <v>13004087</v>
      </c>
      <c r="AJ47" s="630">
        <f>+AI$31/12*(12-$AI$32)</f>
        <v>49257.905303030304</v>
      </c>
      <c r="AK47" s="630">
        <f>+AI47-AJ47</f>
        <v>12954829.094696969</v>
      </c>
      <c r="AL47" s="662">
        <f>+(((AI$28*AK47)*(12-AI$32)/12))+AJ47</f>
        <v>434246.34849555569</v>
      </c>
      <c r="AM47" s="630">
        <f>+AM30</f>
        <v>4878144.29</v>
      </c>
      <c r="AN47" s="630">
        <f>+AM$31/12*(12-$AM$32)</f>
        <v>55433.45784090909</v>
      </c>
      <c r="AO47" s="630">
        <f t="shared" ref="AO47:AO110" si="16">+AM47-AN47</f>
        <v>4822710.8321590908</v>
      </c>
      <c r="AP47" s="662">
        <f>+(((AM$28*AO47)*(12-AM$32)/12))+AN47</f>
        <v>485393.88147954002</v>
      </c>
      <c r="AQ47" s="630">
        <f>+AQ30</f>
        <v>39817018.439999998</v>
      </c>
      <c r="AR47" s="630">
        <f>+AQ$31/12*(12-$AQ$32)</f>
        <v>226233.05931818177</v>
      </c>
      <c r="AS47" s="630">
        <f t="shared" ref="AS47:AS110" si="17">+AQ47-AR47</f>
        <v>39590785.380681813</v>
      </c>
      <c r="AT47" s="662">
        <f>+(((AQ$28*AS47)*(12-AQ$32)/12))+AR47</f>
        <v>1991056.9775338257</v>
      </c>
      <c r="AU47" s="776">
        <f>+AW46</f>
        <v>28375000</v>
      </c>
      <c r="AV47" s="775">
        <f>+AU$31</f>
        <v>750000</v>
      </c>
      <c r="AW47" s="775">
        <f t="shared" si="1"/>
        <v>27625000</v>
      </c>
      <c r="AX47" s="757">
        <f>+AU$28*AW47+AV47</f>
        <v>750000</v>
      </c>
      <c r="AY47" s="776">
        <f>+BA46</f>
        <v>18583333.333333332</v>
      </c>
      <c r="AZ47" s="775">
        <f>+AY$31</f>
        <v>500000</v>
      </c>
      <c r="BA47" s="775">
        <f t="shared" si="2"/>
        <v>18083333.333333332</v>
      </c>
      <c r="BB47" s="757">
        <f>+AY$28*BA47+AZ47</f>
        <v>500000</v>
      </c>
      <c r="BC47" s="776">
        <f>+BE46</f>
        <v>28750000</v>
      </c>
      <c r="BD47" s="775">
        <f>+BC$31</f>
        <v>750000</v>
      </c>
      <c r="BE47" s="775">
        <f t="shared" si="4"/>
        <v>28000000</v>
      </c>
      <c r="BF47" s="757">
        <f>+BC$28*BE47+BD47</f>
        <v>750000</v>
      </c>
      <c r="BG47" s="776">
        <f>+BI46</f>
        <v>19380952.380952381</v>
      </c>
      <c r="BH47" s="775">
        <f>+BG$31</f>
        <v>571428.57142857148</v>
      </c>
      <c r="BI47" s="775">
        <f t="shared" si="5"/>
        <v>18809523.80952381</v>
      </c>
      <c r="BJ47" s="757">
        <f>+BG$28*BI47+BH47</f>
        <v>571428.57142857148</v>
      </c>
      <c r="BK47" s="776">
        <f>+BM46</f>
        <v>29600000</v>
      </c>
      <c r="BL47" s="762">
        <f>+BK$31</f>
        <v>1200000</v>
      </c>
      <c r="BM47" s="775">
        <f t="shared" si="9"/>
        <v>28400000</v>
      </c>
      <c r="BN47" s="757">
        <f>+BK$28*BM47+BL47</f>
        <v>1200000</v>
      </c>
      <c r="BO47" s="776">
        <f>+BQ46</f>
        <v>19833333.333333332</v>
      </c>
      <c r="BP47" s="762">
        <f>+BO$31</f>
        <v>666666.66666666663</v>
      </c>
      <c r="BQ47" s="775">
        <f t="shared" si="10"/>
        <v>19166666.666666664</v>
      </c>
      <c r="BR47" s="757">
        <f>+BO$28*BQ47+BP47</f>
        <v>666666.66666666663</v>
      </c>
      <c r="BS47" s="630">
        <f>+BS30</f>
        <v>365679</v>
      </c>
      <c r="BT47" s="630">
        <f>+BS$31/12*(12-$BS$32)</f>
        <v>0</v>
      </c>
      <c r="BU47" s="630">
        <f t="shared" ref="BU47:BU110" si="18">+BS47-BT47</f>
        <v>365679</v>
      </c>
      <c r="BV47" s="662">
        <f>+(((BS$28*BU47)*(12-BS$32)/12))+BT47</f>
        <v>0</v>
      </c>
      <c r="BW47" s="630"/>
      <c r="BX47" s="630"/>
      <c r="BY47" s="630"/>
      <c r="BZ47" s="662"/>
      <c r="CA47" s="630"/>
      <c r="CB47" s="630"/>
      <c r="CC47" s="630"/>
      <c r="CD47" s="662"/>
      <c r="CE47" s="630"/>
      <c r="CF47" s="630"/>
      <c r="CG47" s="630"/>
      <c r="CH47" s="662"/>
      <c r="CI47" s="630"/>
      <c r="CJ47" s="630"/>
      <c r="CK47" s="630"/>
      <c r="CL47" s="662"/>
      <c r="CM47" s="630"/>
      <c r="CN47" s="630"/>
      <c r="CO47" s="630"/>
      <c r="CP47" s="662"/>
      <c r="CQ47" s="630"/>
      <c r="CR47" s="630"/>
      <c r="CS47" s="630"/>
      <c r="CT47" s="662"/>
      <c r="CU47" s="630"/>
      <c r="CV47" s="630"/>
      <c r="CW47" s="630"/>
      <c r="CX47" s="662"/>
      <c r="CY47" s="782">
        <f t="shared" si="3"/>
        <v>21618178.141553886</v>
      </c>
      <c r="CZ47" s="756"/>
      <c r="DA47" s="778">
        <f>+CY47</f>
        <v>21618178.141553886</v>
      </c>
      <c r="DD47" s="661"/>
      <c r="DE47" s="630"/>
      <c r="DF47" s="630"/>
      <c r="DG47" s="662"/>
      <c r="DH47" s="661"/>
      <c r="DI47" s="630"/>
      <c r="DJ47" s="630"/>
      <c r="DK47" s="662"/>
      <c r="DL47" s="661"/>
      <c r="DM47" s="630"/>
      <c r="DN47" s="630"/>
      <c r="DO47" s="662"/>
      <c r="DP47" s="661"/>
      <c r="DQ47" s="630"/>
      <c r="DR47" s="630"/>
      <c r="DS47" s="662"/>
      <c r="DT47" s="661"/>
      <c r="DU47" s="630"/>
      <c r="DV47" s="630"/>
      <c r="DW47" s="662"/>
      <c r="DX47" s="661"/>
      <c r="DY47" s="630"/>
      <c r="DZ47" s="630"/>
      <c r="EA47" s="662"/>
      <c r="EB47" s="661"/>
      <c r="EC47" s="630"/>
      <c r="ED47" s="630"/>
      <c r="EE47" s="662"/>
      <c r="EF47" s="661"/>
      <c r="EG47" s="630"/>
      <c r="EH47" s="630"/>
      <c r="EI47" s="662"/>
      <c r="EJ47" s="661"/>
      <c r="EK47" s="630"/>
      <c r="EL47" s="630"/>
      <c r="EM47" s="662"/>
      <c r="EN47" s="661"/>
      <c r="EO47" s="630"/>
      <c r="EP47" s="630"/>
      <c r="EQ47" s="662"/>
      <c r="ER47" s="661"/>
      <c r="ES47" s="630"/>
      <c r="ET47" s="630"/>
      <c r="EU47" s="662"/>
      <c r="EW47" s="661"/>
      <c r="EX47" s="630"/>
      <c r="EY47" s="630"/>
      <c r="EZ47" s="662"/>
      <c r="FA47" s="661"/>
      <c r="FB47" s="630"/>
      <c r="FC47" s="630"/>
      <c r="FD47" s="662"/>
    </row>
    <row r="48" spans="1:161">
      <c r="A48" s="753" t="s">
        <v>23</v>
      </c>
      <c r="B48" s="774">
        <f t="shared" si="0"/>
        <v>2010</v>
      </c>
      <c r="C48" s="775">
        <f>+C47</f>
        <v>19057607.319886364</v>
      </c>
      <c r="D48" s="775">
        <f>+D47</f>
        <v>445791.98409090913</v>
      </c>
      <c r="E48" s="775">
        <f t="shared" si="6"/>
        <v>18611815.335795455</v>
      </c>
      <c r="F48" s="757">
        <f>+C$29*E48+D48</f>
        <v>3912431.4424330844</v>
      </c>
      <c r="G48" s="775">
        <f>+G47</f>
        <v>4923231.855681818</v>
      </c>
      <c r="H48" s="775">
        <f>+H47</f>
        <v>115840.74954545456</v>
      </c>
      <c r="I48" s="775">
        <f t="shared" si="7"/>
        <v>4807391.106136363</v>
      </c>
      <c r="J48" s="757">
        <f>+G$29*I48+H48</f>
        <v>1011266.1231339938</v>
      </c>
      <c r="K48" s="775">
        <f>+K47</f>
        <v>12751275.027443182</v>
      </c>
      <c r="L48" s="775">
        <f>+L47</f>
        <v>305419.76113636367</v>
      </c>
      <c r="M48" s="775">
        <f t="shared" si="8"/>
        <v>12445855.266306818</v>
      </c>
      <c r="N48" s="757">
        <f>+K$29*M48+L48</f>
        <v>2623586.5912152724</v>
      </c>
      <c r="O48" s="775">
        <f>+O47</f>
        <v>5230031.9469696973</v>
      </c>
      <c r="P48" s="775">
        <f>+P47</f>
        <v>119316.31818181818</v>
      </c>
      <c r="Q48" s="775">
        <f t="shared" si="11"/>
        <v>5110715.6287878789</v>
      </c>
      <c r="R48" s="757">
        <f>+O$29*Q48+P48</f>
        <v>1071238.9619148879</v>
      </c>
      <c r="S48" s="661">
        <f>+S47</f>
        <v>2458978.9133333326</v>
      </c>
      <c r="T48" s="630">
        <f>+T47</f>
        <v>58315.705454545445</v>
      </c>
      <c r="U48" s="630">
        <f t="shared" si="12"/>
        <v>2400663.2078787871</v>
      </c>
      <c r="V48" s="662">
        <f>+S$29*U48+T48</f>
        <v>505463.5871884161</v>
      </c>
      <c r="W48" s="630">
        <f>+W47</f>
        <v>30389370.064393938</v>
      </c>
      <c r="X48" s="630">
        <f>+X47</f>
        <v>693293.61363636365</v>
      </c>
      <c r="Y48" s="630">
        <f t="shared" si="13"/>
        <v>29696076.450757574</v>
      </c>
      <c r="Z48" s="662">
        <f>+W$29*Y48+X48</f>
        <v>6224489.1754228799</v>
      </c>
      <c r="AA48" s="630">
        <f>+AA47</f>
        <v>19799095.558712121</v>
      </c>
      <c r="AB48" s="630">
        <f>+AB47</f>
        <v>450833.29545454547</v>
      </c>
      <c r="AC48" s="630">
        <f t="shared" si="14"/>
        <v>19348262.263257574</v>
      </c>
      <c r="AD48" s="662">
        <f>+AA$29*AC48+AB48</f>
        <v>4054643.466682795</v>
      </c>
      <c r="AE48" s="630">
        <f>+AE47</f>
        <v>200008.05681818182</v>
      </c>
      <c r="AF48" s="630">
        <f>+AF47</f>
        <v>4597.886363636364</v>
      </c>
      <c r="AG48" s="630">
        <f t="shared" si="15"/>
        <v>195410.17045454547</v>
      </c>
      <c r="AH48" s="662">
        <f>+AE$29*AG48+AF48</f>
        <v>40995.013416377202</v>
      </c>
      <c r="AI48" s="630">
        <f>+AI47</f>
        <v>13004087</v>
      </c>
      <c r="AJ48" s="630">
        <f>+AJ47</f>
        <v>49257.905303030304</v>
      </c>
      <c r="AK48" s="630">
        <f t="shared" ref="AK48:AK111" si="19">+AI48-AJ48</f>
        <v>12954829.094696969</v>
      </c>
      <c r="AL48" s="662">
        <f>+(((AI$29*AK48)*(12-AI$32)/12))+AJ48</f>
        <v>451419.30032273452</v>
      </c>
      <c r="AM48" s="630">
        <f>+AM47</f>
        <v>4878144.29</v>
      </c>
      <c r="AN48" s="630">
        <f>+AN47</f>
        <v>55433.45784090909</v>
      </c>
      <c r="AO48" s="630">
        <f t="shared" si="16"/>
        <v>4822710.8321590908</v>
      </c>
      <c r="AP48" s="662">
        <f>+(((AM$29*AO48)*(12-AM$32)/12))+AN48</f>
        <v>504572.8718448357</v>
      </c>
      <c r="AQ48" s="630">
        <f>+AQ47</f>
        <v>39817018.439999998</v>
      </c>
      <c r="AR48" s="630">
        <f>+AR47</f>
        <v>226233.05931818177</v>
      </c>
      <c r="AS48" s="630">
        <f t="shared" si="17"/>
        <v>39590785.380681813</v>
      </c>
      <c r="AT48" s="662">
        <f>+(((AQ$29*AS48)*(12-AQ$32)/12))+AR48</f>
        <v>2069779.4344461598</v>
      </c>
      <c r="AU48" s="776">
        <f>+AU47</f>
        <v>28375000</v>
      </c>
      <c r="AV48" s="775">
        <f>+AV47</f>
        <v>750000</v>
      </c>
      <c r="AW48" s="775">
        <f t="shared" si="1"/>
        <v>27625000</v>
      </c>
      <c r="AX48" s="757">
        <f>+AU$29*AW48+AV48</f>
        <v>750000</v>
      </c>
      <c r="AY48" s="776">
        <f>+AY47</f>
        <v>18583333.333333332</v>
      </c>
      <c r="AZ48" s="775">
        <f>+AZ47</f>
        <v>500000</v>
      </c>
      <c r="BA48" s="775">
        <f t="shared" si="2"/>
        <v>18083333.333333332</v>
      </c>
      <c r="BB48" s="757">
        <f>+AY$29*BA48+AZ48</f>
        <v>500000</v>
      </c>
      <c r="BC48" s="776">
        <f>+BC47</f>
        <v>28750000</v>
      </c>
      <c r="BD48" s="775">
        <f>+BD47</f>
        <v>750000</v>
      </c>
      <c r="BE48" s="775">
        <f t="shared" si="4"/>
        <v>28000000</v>
      </c>
      <c r="BF48" s="757">
        <f>+BC$29*BE48+BD48</f>
        <v>750000</v>
      </c>
      <c r="BG48" s="776">
        <f>+BG47</f>
        <v>19380952.380952381</v>
      </c>
      <c r="BH48" s="775">
        <f>+BH47</f>
        <v>571428.57142857148</v>
      </c>
      <c r="BI48" s="775">
        <f t="shared" si="5"/>
        <v>18809523.80952381</v>
      </c>
      <c r="BJ48" s="757">
        <f>+BG$29*BI48+BH48</f>
        <v>571428.57142857148</v>
      </c>
      <c r="BK48" s="776">
        <f>+BK47</f>
        <v>29600000</v>
      </c>
      <c r="BL48" s="762">
        <f>+BL47</f>
        <v>1200000</v>
      </c>
      <c r="BM48" s="775">
        <f t="shared" si="9"/>
        <v>28400000</v>
      </c>
      <c r="BN48" s="757">
        <f>+BK$29*BM48+BL48</f>
        <v>1200000</v>
      </c>
      <c r="BO48" s="776">
        <f>+BO47</f>
        <v>19833333.333333332</v>
      </c>
      <c r="BP48" s="762">
        <f>+BP47</f>
        <v>666666.66666666663</v>
      </c>
      <c r="BQ48" s="775">
        <f t="shared" si="10"/>
        <v>19166666.666666664</v>
      </c>
      <c r="BR48" s="757">
        <f>+BO$29*BQ48+BP48</f>
        <v>666666.66666666663</v>
      </c>
      <c r="BS48" s="630">
        <f>+BS47</f>
        <v>365679</v>
      </c>
      <c r="BT48" s="630">
        <f>+BT47</f>
        <v>0</v>
      </c>
      <c r="BU48" s="630">
        <f t="shared" si="18"/>
        <v>365679</v>
      </c>
      <c r="BV48" s="662">
        <f>+(((BS$29*BU48)*(12-BS$32)/12))+BT48</f>
        <v>0</v>
      </c>
      <c r="BW48" s="630"/>
      <c r="BX48" s="630"/>
      <c r="BY48" s="630"/>
      <c r="BZ48" s="662"/>
      <c r="CA48" s="630"/>
      <c r="CB48" s="630"/>
      <c r="CC48" s="630"/>
      <c r="CD48" s="662"/>
      <c r="CE48" s="630"/>
      <c r="CF48" s="630"/>
      <c r="CG48" s="630"/>
      <c r="CH48" s="662"/>
      <c r="CI48" s="630"/>
      <c r="CJ48" s="630"/>
      <c r="CK48" s="630"/>
      <c r="CL48" s="662"/>
      <c r="CM48" s="630"/>
      <c r="CN48" s="630"/>
      <c r="CO48" s="630"/>
      <c r="CP48" s="662"/>
      <c r="CQ48" s="630"/>
      <c r="CR48" s="630"/>
      <c r="CS48" s="630"/>
      <c r="CT48" s="662"/>
      <c r="CU48" s="630"/>
      <c r="CV48" s="630"/>
      <c r="CW48" s="630"/>
      <c r="CX48" s="662"/>
      <c r="CY48" s="782">
        <f t="shared" si="3"/>
        <v>22469885.968021434</v>
      </c>
      <c r="CZ48" s="799">
        <f>+CY48</f>
        <v>22469885.968021434</v>
      </c>
      <c r="DA48" s="778"/>
      <c r="DB48" s="781"/>
      <c r="DD48" s="661"/>
      <c r="DE48" s="630"/>
      <c r="DF48" s="630"/>
      <c r="DG48" s="662"/>
      <c r="DH48" s="661"/>
      <c r="DI48" s="630"/>
      <c r="DJ48" s="630"/>
      <c r="DK48" s="662"/>
      <c r="DL48" s="661"/>
      <c r="DM48" s="630"/>
      <c r="DN48" s="630"/>
      <c r="DO48" s="662"/>
      <c r="DP48" s="661"/>
      <c r="DQ48" s="630"/>
      <c r="DR48" s="630"/>
      <c r="DS48" s="662"/>
      <c r="DT48" s="661"/>
      <c r="DU48" s="630"/>
      <c r="DV48" s="630"/>
      <c r="DW48" s="662"/>
      <c r="DX48" s="661"/>
      <c r="DY48" s="630"/>
      <c r="DZ48" s="630"/>
      <c r="EA48" s="662"/>
      <c r="EB48" s="661"/>
      <c r="EC48" s="630"/>
      <c r="ED48" s="630"/>
      <c r="EE48" s="662"/>
      <c r="EF48" s="661"/>
      <c r="EG48" s="630"/>
      <c r="EH48" s="630"/>
      <c r="EI48" s="662"/>
      <c r="EJ48" s="661"/>
      <c r="EK48" s="630"/>
      <c r="EL48" s="630"/>
      <c r="EM48" s="662"/>
      <c r="EN48" s="661"/>
      <c r="EO48" s="630"/>
      <c r="EP48" s="630"/>
      <c r="EQ48" s="662"/>
      <c r="ER48" s="661"/>
      <c r="ES48" s="630"/>
      <c r="ET48" s="630"/>
      <c r="EU48" s="662"/>
      <c r="EW48" s="661"/>
      <c r="EX48" s="630"/>
      <c r="EY48" s="630"/>
      <c r="EZ48" s="662"/>
      <c r="FA48" s="661"/>
      <c r="FB48" s="630"/>
      <c r="FC48" s="630"/>
      <c r="FD48" s="662"/>
    </row>
    <row r="49" spans="1:161">
      <c r="A49" s="753" t="s">
        <v>24</v>
      </c>
      <c r="B49" s="774">
        <f t="shared" si="0"/>
        <v>2011</v>
      </c>
      <c r="C49" s="775">
        <f>+E48</f>
        <v>18611815.335795455</v>
      </c>
      <c r="D49" s="775">
        <f>+C$31</f>
        <v>445791.98409090913</v>
      </c>
      <c r="E49" s="775">
        <f t="shared" si="6"/>
        <v>18166023.351704545</v>
      </c>
      <c r="F49" s="757">
        <f>+C$28*E49+D49</f>
        <v>3684912.6230662186</v>
      </c>
      <c r="G49" s="775">
        <f>+I48</f>
        <v>4807391.106136363</v>
      </c>
      <c r="H49" s="775">
        <f>+G$31</f>
        <v>115840.74954545456</v>
      </c>
      <c r="I49" s="775">
        <f t="shared" si="7"/>
        <v>4691550.356590908</v>
      </c>
      <c r="J49" s="757">
        <f>+G$28*I49+H49</f>
        <v>952374.82718109025</v>
      </c>
      <c r="K49" s="776">
        <f>+M48</f>
        <v>12445855.266306818</v>
      </c>
      <c r="L49" s="775">
        <f>+K$31</f>
        <v>305419.76113636367</v>
      </c>
      <c r="M49" s="775">
        <f t="shared" si="8"/>
        <v>12140435.505170453</v>
      </c>
      <c r="N49" s="757">
        <f>+K$28*M49+L49</f>
        <v>2470138.7229919527</v>
      </c>
      <c r="O49" s="776">
        <f>+Q48</f>
        <v>5110715.6287878789</v>
      </c>
      <c r="P49" s="775">
        <f>+O$31</f>
        <v>119316.31818181818</v>
      </c>
      <c r="Q49" s="775">
        <f t="shared" si="11"/>
        <v>4991399.3106060605</v>
      </c>
      <c r="R49" s="757">
        <f>+O$28*Q49+P49</f>
        <v>1009315.4231776937</v>
      </c>
      <c r="S49" s="661">
        <f>+U48</f>
        <v>2400663.2078787871</v>
      </c>
      <c r="T49" s="630">
        <f>+S$31</f>
        <v>58315.705454545445</v>
      </c>
      <c r="U49" s="630">
        <f t="shared" si="12"/>
        <v>2342347.5024242415</v>
      </c>
      <c r="V49" s="662">
        <f>+S$28*U49+T49</f>
        <v>475971.56727213558</v>
      </c>
      <c r="W49" s="661">
        <f>+Y48</f>
        <v>29696076.450757574</v>
      </c>
      <c r="X49" s="630">
        <f>+W$31</f>
        <v>693293.61363636365</v>
      </c>
      <c r="Y49" s="630">
        <f t="shared" si="13"/>
        <v>29002782.837121211</v>
      </c>
      <c r="Z49" s="662">
        <f>+W$28*Y49+X49</f>
        <v>5864679.2634639759</v>
      </c>
      <c r="AA49" s="661">
        <f>+AC48</f>
        <v>19348262.263257574</v>
      </c>
      <c r="AB49" s="630">
        <f>+AA$31</f>
        <v>450833.29545454547</v>
      </c>
      <c r="AC49" s="630">
        <f t="shared" si="14"/>
        <v>18897428.967803027</v>
      </c>
      <c r="AD49" s="662">
        <f>+AA$28*AC49+AB49</f>
        <v>3820368.3339216812</v>
      </c>
      <c r="AE49" s="661">
        <f>+AG48</f>
        <v>195410.17045454547</v>
      </c>
      <c r="AF49" s="630">
        <f>+AE$31</f>
        <v>4597.886363636364</v>
      </c>
      <c r="AG49" s="630">
        <f t="shared" si="15"/>
        <v>190812.28409090912</v>
      </c>
      <c r="AH49" s="662">
        <f>+AE$28*AG49+AF49</f>
        <v>38620.963159411258</v>
      </c>
      <c r="AI49" s="661">
        <f>+AK48</f>
        <v>12954829.094696969</v>
      </c>
      <c r="AJ49" s="630">
        <f>+AI$31</f>
        <v>295547.43181818182</v>
      </c>
      <c r="AK49" s="630">
        <f t="shared" si="19"/>
        <v>12659281.662878787</v>
      </c>
      <c r="AL49" s="662">
        <f>+AI$28*AK49+AJ49</f>
        <v>2552780.0531218858</v>
      </c>
      <c r="AM49" s="661">
        <f>+AO48</f>
        <v>4822710.8321590908</v>
      </c>
      <c r="AN49" s="630">
        <f>+AM$31</f>
        <v>110866.91568181818</v>
      </c>
      <c r="AO49" s="630">
        <f t="shared" si="16"/>
        <v>4711843.9164772723</v>
      </c>
      <c r="AP49" s="662">
        <f>+AM$28*AO49+AN49</f>
        <v>951019.46761937288</v>
      </c>
      <c r="AQ49" s="661">
        <f>+AS48</f>
        <v>39590785.380681813</v>
      </c>
      <c r="AR49" s="630">
        <f>+AQ$31</f>
        <v>904932.23727272719</v>
      </c>
      <c r="AS49" s="630">
        <f t="shared" si="17"/>
        <v>38685853.143409088</v>
      </c>
      <c r="AT49" s="662">
        <f>+AQ$28*AS49+AR49</f>
        <v>7802872.5804698728</v>
      </c>
      <c r="AU49" s="776">
        <f>+AW48</f>
        <v>27625000</v>
      </c>
      <c r="AV49" s="775">
        <f>+AU$31</f>
        <v>750000</v>
      </c>
      <c r="AW49" s="775">
        <f t="shared" si="1"/>
        <v>26875000</v>
      </c>
      <c r="AX49" s="757">
        <f>+AU$28*AW49+AV49</f>
        <v>750000</v>
      </c>
      <c r="AY49" s="776">
        <f>+BA48</f>
        <v>18083333.333333332</v>
      </c>
      <c r="AZ49" s="775">
        <f>+AY$31</f>
        <v>500000</v>
      </c>
      <c r="BA49" s="775">
        <f t="shared" si="2"/>
        <v>17583333.333333332</v>
      </c>
      <c r="BB49" s="757">
        <f>+AY$28*BA49+AZ49</f>
        <v>500000</v>
      </c>
      <c r="BC49" s="776">
        <f>+BE48</f>
        <v>28000000</v>
      </c>
      <c r="BD49" s="775">
        <f>+BC$31</f>
        <v>750000</v>
      </c>
      <c r="BE49" s="775">
        <f t="shared" si="4"/>
        <v>27250000</v>
      </c>
      <c r="BF49" s="757">
        <f>+BC$28*BE49+BD49</f>
        <v>750000</v>
      </c>
      <c r="BG49" s="776">
        <f>+BI48</f>
        <v>18809523.80952381</v>
      </c>
      <c r="BH49" s="775">
        <f>+BG$31</f>
        <v>571428.57142857148</v>
      </c>
      <c r="BI49" s="775">
        <f t="shared" si="5"/>
        <v>18238095.238095239</v>
      </c>
      <c r="BJ49" s="757">
        <f>+BG$28*BI49+BH49</f>
        <v>571428.57142857148</v>
      </c>
      <c r="BK49" s="776">
        <f>+BM48</f>
        <v>28400000</v>
      </c>
      <c r="BL49" s="775">
        <f>+BK$31</f>
        <v>1200000</v>
      </c>
      <c r="BM49" s="775">
        <f t="shared" si="9"/>
        <v>27200000</v>
      </c>
      <c r="BN49" s="757">
        <f>+BK$28*BM49+BL49</f>
        <v>1200000</v>
      </c>
      <c r="BO49" s="776">
        <f>+BQ48</f>
        <v>19166666.666666664</v>
      </c>
      <c r="BP49" s="775">
        <f>+BO$31</f>
        <v>666666.66666666663</v>
      </c>
      <c r="BQ49" s="775">
        <f t="shared" si="10"/>
        <v>18499999.999999996</v>
      </c>
      <c r="BR49" s="757">
        <f>+BO$28*BQ49+BP49</f>
        <v>666666.66666666663</v>
      </c>
      <c r="BS49" s="661">
        <f>+BU48</f>
        <v>365679</v>
      </c>
      <c r="BT49" s="630">
        <f>+BS$31</f>
        <v>8310.886363636364</v>
      </c>
      <c r="BU49" s="630">
        <f t="shared" si="18"/>
        <v>357368.11363636365</v>
      </c>
      <c r="BV49" s="662">
        <f>+BS$28*BU49+BT49</f>
        <v>72031.955646672577</v>
      </c>
      <c r="BW49" s="661">
        <f>+BW30</f>
        <v>25381014</v>
      </c>
      <c r="BX49" s="630">
        <f>+BW$31/12*(12-$CE$32)</f>
        <v>432630.92045454547</v>
      </c>
      <c r="BY49" s="630">
        <f>+BW49-BX49</f>
        <v>24948383.079545453</v>
      </c>
      <c r="BZ49" s="662">
        <f>+(((BW$28*BY49)*(12-BW$32)/12))+BX49</f>
        <v>2656860.7636479228</v>
      </c>
      <c r="CA49" s="661">
        <f>+CA30</f>
        <v>2395092.48</v>
      </c>
      <c r="CB49" s="630">
        <f>+CA$31/12*(12-$CE$32)</f>
        <v>40825.440000000002</v>
      </c>
      <c r="CC49" s="630">
        <f>+CA49-CB49</f>
        <v>2354267.04</v>
      </c>
      <c r="CD49" s="662">
        <f>+(((CA$28*CC49)*(12-CA$32)/12))+CB49</f>
        <v>215734.27051481043</v>
      </c>
      <c r="CE49" s="661">
        <f>+CE30</f>
        <v>207901.28</v>
      </c>
      <c r="CF49" s="630">
        <f>+CE$31/12*(12-$CE$32)</f>
        <v>3543.7718181818182</v>
      </c>
      <c r="CG49" s="630">
        <f>+CE49-CF49</f>
        <v>204357.50818181818</v>
      </c>
      <c r="CH49" s="662">
        <f>+(((CE$28*CG49)*(12-CE$32)/12))+CF49</f>
        <v>30872.480872956134</v>
      </c>
      <c r="CI49" s="661"/>
      <c r="CK49" s="630"/>
      <c r="CL49" s="662"/>
      <c r="CM49" s="661"/>
      <c r="CO49" s="630"/>
      <c r="CP49" s="662"/>
      <c r="CQ49" s="661"/>
      <c r="CS49" s="630"/>
      <c r="CT49" s="662"/>
      <c r="CU49" s="661"/>
      <c r="CW49" s="630"/>
      <c r="CX49" s="662"/>
      <c r="CY49" s="782">
        <f t="shared" si="3"/>
        <v>32598553.296127651</v>
      </c>
      <c r="CZ49" s="756"/>
      <c r="DA49" s="778">
        <f>+CY49</f>
        <v>32598553.296127651</v>
      </c>
      <c r="DB49" s="645"/>
      <c r="DD49" s="661"/>
      <c r="DE49" s="630"/>
      <c r="DF49" s="630"/>
      <c r="DG49" s="662"/>
      <c r="DH49" s="661"/>
      <c r="DI49" s="630"/>
      <c r="DJ49" s="630"/>
      <c r="DK49" s="662"/>
      <c r="DL49" s="661"/>
      <c r="DM49" s="630"/>
      <c r="DN49" s="630"/>
      <c r="DO49" s="662"/>
      <c r="DP49" s="661"/>
      <c r="DQ49" s="630"/>
      <c r="DR49" s="630"/>
      <c r="DS49" s="662"/>
      <c r="DT49" s="661"/>
      <c r="DU49" s="630"/>
      <c r="DV49" s="630"/>
      <c r="DW49" s="662"/>
      <c r="DX49" s="661"/>
      <c r="DY49" s="630"/>
      <c r="DZ49" s="630"/>
      <c r="EA49" s="662"/>
      <c r="EB49" s="661"/>
      <c r="EC49" s="630"/>
      <c r="ED49" s="630"/>
      <c r="EE49" s="662"/>
      <c r="EF49" s="661"/>
      <c r="EG49" s="630"/>
      <c r="EH49" s="630"/>
      <c r="EI49" s="662"/>
      <c r="EJ49" s="661"/>
      <c r="EK49" s="630"/>
      <c r="EL49" s="630"/>
      <c r="EM49" s="662"/>
      <c r="EN49" s="661"/>
      <c r="EO49" s="630"/>
      <c r="EP49" s="630"/>
      <c r="EQ49" s="662"/>
      <c r="ER49" s="661"/>
      <c r="ES49" s="630"/>
      <c r="ET49" s="630"/>
      <c r="EU49" s="662"/>
      <c r="EW49" s="661"/>
      <c r="EX49" s="630"/>
      <c r="EY49" s="630"/>
      <c r="EZ49" s="662"/>
      <c r="FA49" s="661"/>
      <c r="FB49" s="630"/>
      <c r="FC49" s="630"/>
      <c r="FD49" s="662"/>
    </row>
    <row r="50" spans="1:161">
      <c r="A50" s="753" t="s">
        <v>23</v>
      </c>
      <c r="B50" s="774">
        <f t="shared" si="0"/>
        <v>2011</v>
      </c>
      <c r="C50" s="775">
        <f>+C49</f>
        <v>18611815.335795455</v>
      </c>
      <c r="D50" s="775">
        <f>+D49</f>
        <v>445791.98409090913</v>
      </c>
      <c r="E50" s="775">
        <f t="shared" si="6"/>
        <v>18166023.351704545</v>
      </c>
      <c r="F50" s="757">
        <f>+C$29*E50+D50</f>
        <v>3829398.1619937504</v>
      </c>
      <c r="G50" s="775">
        <f>+G49</f>
        <v>4807391.106136363</v>
      </c>
      <c r="H50" s="775">
        <f>+H49</f>
        <v>115840.74954545456</v>
      </c>
      <c r="I50" s="775">
        <f t="shared" si="7"/>
        <v>4691550.356590908</v>
      </c>
      <c r="J50" s="757">
        <f>+G$29*I50+H50</f>
        <v>989689.60810776392</v>
      </c>
      <c r="K50" s="776">
        <f>+K49</f>
        <v>12445855.266306818</v>
      </c>
      <c r="L50" s="775">
        <f>+L49</f>
        <v>305419.76113636367</v>
      </c>
      <c r="M50" s="775">
        <f t="shared" si="8"/>
        <v>12140435.505170453</v>
      </c>
      <c r="N50" s="757">
        <f>+K$29*M50+L50</f>
        <v>2566699.0616427837</v>
      </c>
      <c r="O50" s="776">
        <f>+O49</f>
        <v>5110715.6287878789</v>
      </c>
      <c r="P50" s="775">
        <f>+P49</f>
        <v>119316.31818181818</v>
      </c>
      <c r="Q50" s="775">
        <f t="shared" si="11"/>
        <v>4991399.3106060605</v>
      </c>
      <c r="R50" s="757">
        <f>+O$29*Q50+P50</f>
        <v>1049015.0869639213</v>
      </c>
      <c r="S50" s="661">
        <f>+S49</f>
        <v>2400663.2078787871</v>
      </c>
      <c r="T50" s="630">
        <f>+T49</f>
        <v>58315.705454545445</v>
      </c>
      <c r="U50" s="630">
        <f t="shared" si="12"/>
        <v>2342347.5024242415</v>
      </c>
      <c r="V50" s="662">
        <f>+S$29*U50+T50</f>
        <v>494601.69532443542</v>
      </c>
      <c r="W50" s="661">
        <f>+W49</f>
        <v>29696076.450757574</v>
      </c>
      <c r="X50" s="630">
        <f>+X49</f>
        <v>693293.61363636365</v>
      </c>
      <c r="Y50" s="630">
        <f t="shared" si="13"/>
        <v>29002782.837121211</v>
      </c>
      <c r="Z50" s="662">
        <f>+W$29*Y50+X50</f>
        <v>6095356.2051087981</v>
      </c>
      <c r="AA50" s="661">
        <f>+AA49</f>
        <v>19348262.263257574</v>
      </c>
      <c r="AB50" s="630">
        <f>+AB49</f>
        <v>450833.29545454547</v>
      </c>
      <c r="AC50" s="630">
        <f t="shared" si="14"/>
        <v>18897428.967803027</v>
      </c>
      <c r="AD50" s="662">
        <f>+AA$29*AC50+AB50</f>
        <v>3970671.1908483501</v>
      </c>
      <c r="AE50" s="661">
        <f>+AE49</f>
        <v>195410.17045454547</v>
      </c>
      <c r="AF50" s="630">
        <f>+AF49</f>
        <v>4597.886363636364</v>
      </c>
      <c r="AG50" s="630">
        <f t="shared" si="15"/>
        <v>190812.28409090912</v>
      </c>
      <c r="AH50" s="662">
        <f>+AE$29*AG50+AF50</f>
        <v>40138.610426900952</v>
      </c>
      <c r="AI50" s="661">
        <f>+AI49</f>
        <v>12954829.094696969</v>
      </c>
      <c r="AJ50" s="630">
        <f>+AJ49</f>
        <v>295547.43181818182</v>
      </c>
      <c r="AK50" s="630">
        <f t="shared" si="19"/>
        <v>12659281.662878787</v>
      </c>
      <c r="AL50" s="662">
        <f>+AI$29*AK50+AJ50</f>
        <v>2653467.0938728731</v>
      </c>
      <c r="AM50" s="661">
        <f>+AM49</f>
        <v>4822710.8321590908</v>
      </c>
      <c r="AN50" s="630">
        <f>+AN49</f>
        <v>110866.91568181818</v>
      </c>
      <c r="AO50" s="630">
        <f t="shared" si="16"/>
        <v>4711843.9164772723</v>
      </c>
      <c r="AP50" s="662">
        <f>+AM$29*AO50+AN50</f>
        <v>988495.65568949073</v>
      </c>
      <c r="AQ50" s="661">
        <f>+AQ49</f>
        <v>39590785.380681813</v>
      </c>
      <c r="AR50" s="630">
        <f>+AR49</f>
        <v>904932.23727272719</v>
      </c>
      <c r="AS50" s="630">
        <f t="shared" si="17"/>
        <v>38685853.143409088</v>
      </c>
      <c r="AT50" s="662">
        <f>+AQ$29*AS50+AR50</f>
        <v>8110564.9263443677</v>
      </c>
      <c r="AU50" s="776">
        <f>+AU49</f>
        <v>27625000</v>
      </c>
      <c r="AV50" s="775">
        <f>+AV49</f>
        <v>750000</v>
      </c>
      <c r="AW50" s="775">
        <f t="shared" si="1"/>
        <v>26875000</v>
      </c>
      <c r="AX50" s="757">
        <f>+AU$29*AW50+AV50</f>
        <v>750000</v>
      </c>
      <c r="AY50" s="776">
        <f>+AY49</f>
        <v>18083333.333333332</v>
      </c>
      <c r="AZ50" s="775">
        <f>+AZ49</f>
        <v>500000</v>
      </c>
      <c r="BA50" s="775">
        <f t="shared" si="2"/>
        <v>17583333.333333332</v>
      </c>
      <c r="BB50" s="757">
        <f>+AY$29*BA50+AZ50</f>
        <v>500000</v>
      </c>
      <c r="BC50" s="776">
        <f>+BC49</f>
        <v>28000000</v>
      </c>
      <c r="BD50" s="775">
        <f>+BD49</f>
        <v>750000</v>
      </c>
      <c r="BE50" s="775">
        <f t="shared" si="4"/>
        <v>27250000</v>
      </c>
      <c r="BF50" s="757">
        <f>+BC$29*BE50+BD50</f>
        <v>750000</v>
      </c>
      <c r="BG50" s="776">
        <f>+BG49</f>
        <v>18809523.80952381</v>
      </c>
      <c r="BH50" s="775">
        <f>+BH49</f>
        <v>571428.57142857148</v>
      </c>
      <c r="BI50" s="775">
        <f t="shared" si="5"/>
        <v>18238095.238095239</v>
      </c>
      <c r="BJ50" s="757">
        <f>+BG$29*BI50+BH50</f>
        <v>571428.57142857148</v>
      </c>
      <c r="BK50" s="776">
        <f>+BK49</f>
        <v>28400000</v>
      </c>
      <c r="BL50" s="775">
        <f>+BL49</f>
        <v>1200000</v>
      </c>
      <c r="BM50" s="775">
        <f t="shared" si="9"/>
        <v>27200000</v>
      </c>
      <c r="BN50" s="757">
        <f>+BK$29*BM50+BL50</f>
        <v>1200000</v>
      </c>
      <c r="BO50" s="776">
        <f>+BO49</f>
        <v>19166666.666666664</v>
      </c>
      <c r="BP50" s="775">
        <f>+BP49</f>
        <v>666666.66666666663</v>
      </c>
      <c r="BQ50" s="775">
        <f t="shared" si="10"/>
        <v>18499999.999999996</v>
      </c>
      <c r="BR50" s="757">
        <f>+BO$29*BQ50+BP50</f>
        <v>666666.66666666663</v>
      </c>
      <c r="BS50" s="661">
        <f>+BS49</f>
        <v>365679</v>
      </c>
      <c r="BT50" s="630">
        <f>+BT49</f>
        <v>8310.886363636364</v>
      </c>
      <c r="BU50" s="630">
        <f t="shared" si="18"/>
        <v>357368.11363636365</v>
      </c>
      <c r="BV50" s="662">
        <f>+BS$29*BU50+BT50</f>
        <v>74874.323703488975</v>
      </c>
      <c r="BW50" s="661">
        <f>+BW49</f>
        <v>25381014</v>
      </c>
      <c r="BX50" s="630">
        <f>+BX49</f>
        <v>432630.92045454547</v>
      </c>
      <c r="BY50" s="630">
        <f t="shared" ref="BY50:BY113" si="20">+BW50-BX50</f>
        <v>24948383.079545453</v>
      </c>
      <c r="BZ50" s="662">
        <f>+(((BW$29*BY50)*(12-BW$32)/12))+BX50</f>
        <v>2656860.7636479228</v>
      </c>
      <c r="CA50" s="661">
        <f>+CA49</f>
        <v>2395092.48</v>
      </c>
      <c r="CB50" s="630">
        <f>+CB49</f>
        <v>40825.440000000002</v>
      </c>
      <c r="CC50" s="630">
        <f t="shared" ref="CC50:CC113" si="21">+CA50-CB50</f>
        <v>2354267.04</v>
      </c>
      <c r="CD50" s="662">
        <f>+(((CA$29*CC50)*(12-CA$32)/12))+CB50</f>
        <v>223536.32528734015</v>
      </c>
      <c r="CE50" s="661">
        <f>+CE49</f>
        <v>207901.28</v>
      </c>
      <c r="CF50" s="630">
        <f>+CF49</f>
        <v>3543.7718181818182</v>
      </c>
      <c r="CG50" s="630">
        <f t="shared" ref="CG50:CG113" si="22">+CE50-CF50</f>
        <v>204357.50818181818</v>
      </c>
      <c r="CH50" s="662">
        <f>+(((CE$29*CG50)*(12-CE$32)/12))+CF50</f>
        <v>32091.516437257291</v>
      </c>
      <c r="CI50" s="661"/>
      <c r="CJ50" s="630"/>
      <c r="CK50" s="630"/>
      <c r="CL50" s="662"/>
      <c r="CM50" s="661"/>
      <c r="CN50" s="630"/>
      <c r="CO50" s="630"/>
      <c r="CP50" s="662"/>
      <c r="CQ50" s="661"/>
      <c r="CR50" s="630"/>
      <c r="CS50" s="630"/>
      <c r="CT50" s="662"/>
      <c r="CU50" s="661"/>
      <c r="CV50" s="630"/>
      <c r="CW50" s="630"/>
      <c r="CX50" s="662"/>
      <c r="CY50" s="782">
        <f t="shared" si="3"/>
        <v>33775460.225399449</v>
      </c>
      <c r="CZ50" s="779">
        <f>+CY50</f>
        <v>33775460.225399449</v>
      </c>
      <c r="DA50" s="752"/>
      <c r="DB50" s="800"/>
      <c r="DD50" s="661"/>
      <c r="DE50" s="630"/>
      <c r="DF50" s="630"/>
      <c r="DG50" s="662"/>
      <c r="DH50" s="661"/>
      <c r="DI50" s="630"/>
      <c r="DJ50" s="630"/>
      <c r="DK50" s="662"/>
      <c r="DL50" s="661"/>
      <c r="DM50" s="630"/>
      <c r="DN50" s="630"/>
      <c r="DO50" s="662"/>
      <c r="DP50" s="661"/>
      <c r="DQ50" s="630"/>
      <c r="DR50" s="630"/>
      <c r="DS50" s="662"/>
      <c r="DT50" s="661"/>
      <c r="DU50" s="630"/>
      <c r="DV50" s="630"/>
      <c r="DW50" s="662"/>
      <c r="DX50" s="661"/>
      <c r="DY50" s="630"/>
      <c r="DZ50" s="630"/>
      <c r="EA50" s="662"/>
      <c r="EB50" s="661"/>
      <c r="EC50" s="630"/>
      <c r="ED50" s="630"/>
      <c r="EE50" s="662"/>
      <c r="EF50" s="661"/>
      <c r="EG50" s="630"/>
      <c r="EH50" s="630"/>
      <c r="EI50" s="662"/>
      <c r="EJ50" s="661"/>
      <c r="EK50" s="630"/>
      <c r="EL50" s="630"/>
      <c r="EM50" s="662"/>
      <c r="EN50" s="661"/>
      <c r="EO50" s="630"/>
      <c r="EP50" s="630"/>
      <c r="EQ50" s="662"/>
      <c r="ER50" s="661"/>
      <c r="ES50" s="630"/>
      <c r="ET50" s="630"/>
      <c r="EU50" s="662"/>
      <c r="EW50" s="661"/>
      <c r="EX50" s="630"/>
      <c r="EY50" s="630"/>
      <c r="EZ50" s="662"/>
      <c r="FA50" s="661"/>
      <c r="FB50" s="630"/>
      <c r="FC50" s="630"/>
      <c r="FD50" s="662"/>
    </row>
    <row r="51" spans="1:161">
      <c r="A51" s="753" t="s">
        <v>24</v>
      </c>
      <c r="B51" s="774">
        <f t="shared" si="0"/>
        <v>2012</v>
      </c>
      <c r="C51" s="775">
        <f>+E50</f>
        <v>18166023.351704545</v>
      </c>
      <c r="D51" s="775">
        <f>+C$31</f>
        <v>445791.98409090913</v>
      </c>
      <c r="E51" s="775">
        <f t="shared" si="6"/>
        <v>17720231.367613636</v>
      </c>
      <c r="F51" s="757">
        <f>+C$28*E51+D51</f>
        <v>3605425.0000238791</v>
      </c>
      <c r="G51" s="775">
        <f>+I50</f>
        <v>4691550.356590908</v>
      </c>
      <c r="H51" s="775">
        <f>+G$31</f>
        <v>115840.74954545456</v>
      </c>
      <c r="I51" s="775">
        <f t="shared" si="7"/>
        <v>4575709.607045453</v>
      </c>
      <c r="J51" s="757">
        <f>+G$28*I51+H51</f>
        <v>931719.66477033368</v>
      </c>
      <c r="K51" s="776">
        <f>+M50</f>
        <v>12140435.505170453</v>
      </c>
      <c r="L51" s="775">
        <f>+K$31</f>
        <v>305419.76113636367</v>
      </c>
      <c r="M51" s="775">
        <f t="shared" si="8"/>
        <v>11835015.744034089</v>
      </c>
      <c r="N51" s="757">
        <f>+K$28*M51+L51</f>
        <v>2415680.384328919</v>
      </c>
      <c r="O51" s="776">
        <f>+Q50</f>
        <v>4991399.3106060605</v>
      </c>
      <c r="P51" s="775">
        <f>+O$31</f>
        <v>119316.31818181818</v>
      </c>
      <c r="Q51" s="775">
        <f t="shared" si="11"/>
        <v>4872082.9924242422</v>
      </c>
      <c r="R51" s="757">
        <f>+O$28*Q51+P51</f>
        <v>988040.5441738083</v>
      </c>
      <c r="S51" s="661">
        <f>+U50</f>
        <v>2342347.5024242415</v>
      </c>
      <c r="T51" s="630">
        <f>+S$31</f>
        <v>58315.705454545445</v>
      </c>
      <c r="U51" s="630">
        <f t="shared" si="12"/>
        <v>2284031.7969696959</v>
      </c>
      <c r="V51" s="662">
        <f>+S$28*U51+T51</f>
        <v>465573.49602356483</v>
      </c>
      <c r="W51" s="661">
        <f>+Y50</f>
        <v>29002782.837121211</v>
      </c>
      <c r="X51" s="630">
        <f>+W$31</f>
        <v>693293.61363636365</v>
      </c>
      <c r="Y51" s="630">
        <f t="shared" si="13"/>
        <v>28309489.223484848</v>
      </c>
      <c r="Z51" s="662">
        <f>+W$28*Y51+X51</f>
        <v>5741060.4829900088</v>
      </c>
      <c r="AA51" s="661">
        <f>+AC50</f>
        <v>18897428.967803027</v>
      </c>
      <c r="AB51" s="630">
        <f>+AA$31</f>
        <v>450833.29545454547</v>
      </c>
      <c r="AC51" s="630">
        <f t="shared" si="14"/>
        <v>18446595.672348481</v>
      </c>
      <c r="AD51" s="662">
        <f>+AA$28*AC51+AB51</f>
        <v>3739981.8121292242</v>
      </c>
      <c r="AE51" s="661">
        <f>+AG50</f>
        <v>190812.28409090912</v>
      </c>
      <c r="AF51" s="630">
        <f>+AE$31</f>
        <v>4597.886363636364</v>
      </c>
      <c r="AG51" s="630">
        <f t="shared" si="15"/>
        <v>186214.39772727276</v>
      </c>
      <c r="AH51" s="662">
        <f>+AE$28*AG51+AF51</f>
        <v>37801.129983609455</v>
      </c>
      <c r="AI51" s="661">
        <f>+AK50</f>
        <v>12659281.662878787</v>
      </c>
      <c r="AJ51" s="630">
        <f>+AI$31</f>
        <v>295547.43181818182</v>
      </c>
      <c r="AK51" s="630">
        <f t="shared" si="19"/>
        <v>12363734.231060605</v>
      </c>
      <c r="AL51" s="662">
        <f>+AI$28*AK51+AJ51</f>
        <v>2500082.0152704376</v>
      </c>
      <c r="AM51" s="661">
        <f>+AO50</f>
        <v>4711843.9164772723</v>
      </c>
      <c r="AN51" s="630">
        <f>+AM$31</f>
        <v>110866.91568181818</v>
      </c>
      <c r="AO51" s="630">
        <f t="shared" si="16"/>
        <v>4600977.0007954538</v>
      </c>
      <c r="AP51" s="662">
        <f>+AM$28*AO51+AN51</f>
        <v>931251.17227966571</v>
      </c>
      <c r="AQ51" s="661">
        <f>+AS50</f>
        <v>38685853.143409088</v>
      </c>
      <c r="AR51" s="630">
        <f>+AQ$31</f>
        <v>904932.23727272719</v>
      </c>
      <c r="AS51" s="630">
        <f t="shared" si="17"/>
        <v>37780920.906136364</v>
      </c>
      <c r="AT51" s="662">
        <f>+AQ$28*AS51+AR51</f>
        <v>7641517.2508044438</v>
      </c>
      <c r="AU51" s="776">
        <f>+AW50</f>
        <v>26875000</v>
      </c>
      <c r="AV51" s="775">
        <f>+AU$31</f>
        <v>750000</v>
      </c>
      <c r="AW51" s="775">
        <f t="shared" si="1"/>
        <v>26125000</v>
      </c>
      <c r="AX51" s="757">
        <f>+AU$28*AW51+AV51</f>
        <v>750000</v>
      </c>
      <c r="AY51" s="776">
        <f>+BA50</f>
        <v>17583333.333333332</v>
      </c>
      <c r="AZ51" s="775">
        <f>+AY$31</f>
        <v>500000</v>
      </c>
      <c r="BA51" s="775">
        <f t="shared" si="2"/>
        <v>17083333.333333332</v>
      </c>
      <c r="BB51" s="757">
        <f>+AY$28*BA51+AZ51</f>
        <v>500000</v>
      </c>
      <c r="BC51" s="776">
        <f>+BE50</f>
        <v>27250000</v>
      </c>
      <c r="BD51" s="775">
        <f>+BC$31</f>
        <v>750000</v>
      </c>
      <c r="BE51" s="775">
        <f t="shared" si="4"/>
        <v>26500000</v>
      </c>
      <c r="BF51" s="757">
        <f>+BC$28*BE51+BD51</f>
        <v>750000</v>
      </c>
      <c r="BG51" s="776">
        <f>+BI50</f>
        <v>18238095.238095239</v>
      </c>
      <c r="BH51" s="775">
        <f>+BG$31</f>
        <v>571428.57142857148</v>
      </c>
      <c r="BI51" s="775">
        <f t="shared" si="5"/>
        <v>17666666.666666668</v>
      </c>
      <c r="BJ51" s="757">
        <f>+BG$28*BI51+BH51</f>
        <v>571428.57142857148</v>
      </c>
      <c r="BK51" s="776">
        <f>+BM50</f>
        <v>27200000</v>
      </c>
      <c r="BL51" s="775">
        <f>+BK$31</f>
        <v>1200000</v>
      </c>
      <c r="BM51" s="775">
        <f t="shared" si="9"/>
        <v>26000000</v>
      </c>
      <c r="BN51" s="757">
        <f>+BK$28*BM51+BL51</f>
        <v>1200000</v>
      </c>
      <c r="BO51" s="776">
        <f>+BQ50</f>
        <v>18499999.999999996</v>
      </c>
      <c r="BP51" s="775">
        <f>+BO$31</f>
        <v>666666.66666666663</v>
      </c>
      <c r="BQ51" s="775">
        <f t="shared" si="10"/>
        <v>17833333.333333328</v>
      </c>
      <c r="BR51" s="757">
        <f>+BO$28*BQ51+BP51</f>
        <v>666666.66666666663</v>
      </c>
      <c r="BS51" s="661">
        <f>+BU50</f>
        <v>357368.11363636365</v>
      </c>
      <c r="BT51" s="630">
        <f>+BS$31</f>
        <v>8310.886363636364</v>
      </c>
      <c r="BU51" s="630">
        <f t="shared" si="18"/>
        <v>349057.22727272729</v>
      </c>
      <c r="BV51" s="662">
        <f>+BS$28*BU51+BT51</f>
        <v>70550.07031450895</v>
      </c>
      <c r="BW51" s="661">
        <f>+BY50</f>
        <v>24948383.079545453</v>
      </c>
      <c r="BX51" s="630">
        <f>+BW$31</f>
        <v>576841.22727272729</v>
      </c>
      <c r="BY51" s="630">
        <f t="shared" si="20"/>
        <v>24371541.852272727</v>
      </c>
      <c r="BZ51" s="662">
        <f>+BW$28*BY51+BX51</f>
        <v>4922446.3544366667</v>
      </c>
      <c r="CA51" s="661">
        <f>+CC50</f>
        <v>2354267.04</v>
      </c>
      <c r="CB51" s="630">
        <f>+CA$31</f>
        <v>54433.919999999998</v>
      </c>
      <c r="CC51" s="630">
        <f t="shared" si="21"/>
        <v>2299833.12</v>
      </c>
      <c r="CD51" s="662">
        <f>+CA$28*CC51+CB51</f>
        <v>464509.18969252671</v>
      </c>
      <c r="CE51" s="661">
        <f>+CG50</f>
        <v>204357.50818181818</v>
      </c>
      <c r="CF51" s="630">
        <f>+CE$31</f>
        <v>4725.0290909090909</v>
      </c>
      <c r="CG51" s="630">
        <f t="shared" si="22"/>
        <v>199632.4790909091</v>
      </c>
      <c r="CH51" s="662">
        <f>+CE$28*CG51+CF51</f>
        <v>40320.804275933056</v>
      </c>
      <c r="CI51" s="661">
        <f>+CI30</f>
        <v>543960</v>
      </c>
      <c r="CJ51" s="630">
        <f>+CI$31/12*(12-$CE$32)</f>
        <v>9272.045454545454</v>
      </c>
      <c r="CK51" s="630">
        <f>+CI51-CJ51</f>
        <v>534687.95454545459</v>
      </c>
      <c r="CL51" s="662">
        <f t="shared" ref="CL51:CL52" si="23">+(((CI$28*CK51)*(12-CI$32)/12))+CJ53</f>
        <v>91811.356702548946</v>
      </c>
      <c r="CM51" s="661"/>
      <c r="CN51" s="630"/>
      <c r="CO51" s="630"/>
      <c r="CP51" s="662"/>
      <c r="CQ51" s="661"/>
      <c r="CR51" s="630"/>
      <c r="CS51" s="630"/>
      <c r="CT51" s="662"/>
      <c r="CU51" s="661"/>
      <c r="CV51" s="630"/>
      <c r="CW51" s="630"/>
      <c r="CX51" s="662"/>
      <c r="CY51" s="782">
        <f>+R51+J51+F51+N51+V51+Z51+AD51+AH51+AL51+AP51+AT51+BV51+BZ51+CD51+CH51+CL51</f>
        <v>34587770.728200078</v>
      </c>
      <c r="CZ51" s="756"/>
      <c r="DA51" s="778">
        <f>+CY51</f>
        <v>34587770.728200078</v>
      </c>
      <c r="DB51" s="645"/>
      <c r="DD51" s="661"/>
      <c r="DE51" s="630"/>
      <c r="DF51" s="630"/>
      <c r="DG51" s="662"/>
      <c r="DH51" s="661"/>
      <c r="DI51" s="630"/>
      <c r="DJ51" s="630"/>
      <c r="DK51" s="662"/>
      <c r="DL51" s="661"/>
      <c r="DM51" s="630"/>
      <c r="DN51" s="630"/>
      <c r="DO51" s="662"/>
      <c r="DP51" s="661"/>
      <c r="DQ51" s="630"/>
      <c r="DR51" s="630"/>
      <c r="DS51" s="662"/>
      <c r="DT51" s="661"/>
      <c r="DU51" s="630"/>
      <c r="DV51" s="630"/>
      <c r="DW51" s="662"/>
      <c r="DX51" s="661"/>
      <c r="DY51" s="630"/>
      <c r="DZ51" s="630"/>
      <c r="EA51" s="662"/>
      <c r="EB51" s="661"/>
      <c r="EC51" s="630"/>
      <c r="ED51" s="630"/>
      <c r="EE51" s="662"/>
      <c r="EF51" s="661"/>
      <c r="EG51" s="630"/>
      <c r="EH51" s="630"/>
      <c r="EI51" s="662"/>
      <c r="EJ51" s="661"/>
      <c r="EK51" s="630"/>
      <c r="EL51" s="630"/>
      <c r="EM51" s="662"/>
      <c r="EN51" s="661"/>
      <c r="EO51" s="630"/>
      <c r="EP51" s="630"/>
      <c r="EQ51" s="662"/>
      <c r="ER51" s="661"/>
      <c r="ES51" s="630"/>
      <c r="ET51" s="630"/>
      <c r="EU51" s="662"/>
      <c r="EW51" s="661"/>
      <c r="EX51" s="630"/>
      <c r="EY51" s="630"/>
      <c r="EZ51" s="662"/>
      <c r="FA51" s="661"/>
      <c r="FB51" s="630"/>
      <c r="FC51" s="630"/>
      <c r="FD51" s="662"/>
    </row>
    <row r="52" spans="1:161">
      <c r="A52" s="753" t="s">
        <v>23</v>
      </c>
      <c r="B52" s="774">
        <f t="shared" si="0"/>
        <v>2012</v>
      </c>
      <c r="C52" s="775">
        <f>+C51</f>
        <v>18166023.351704545</v>
      </c>
      <c r="D52" s="775">
        <f>+D51</f>
        <v>445791.98409090913</v>
      </c>
      <c r="E52" s="775">
        <f t="shared" si="6"/>
        <v>17720231.367613636</v>
      </c>
      <c r="F52" s="757">
        <f>+C$29*E52+D52</f>
        <v>3746364.8815544164</v>
      </c>
      <c r="G52" s="775">
        <f>+G51</f>
        <v>4691550.356590908</v>
      </c>
      <c r="H52" s="775">
        <f>+H51</f>
        <v>115840.74954545456</v>
      </c>
      <c r="I52" s="775">
        <f t="shared" si="7"/>
        <v>4575709.607045453</v>
      </c>
      <c r="J52" s="757">
        <f>+G$29*I52+H52</f>
        <v>968113.09308153391</v>
      </c>
      <c r="K52" s="776">
        <f>+K51</f>
        <v>12140435.505170453</v>
      </c>
      <c r="L52" s="775">
        <f>+L51</f>
        <v>305419.76113636367</v>
      </c>
      <c r="M52" s="775">
        <f t="shared" si="8"/>
        <v>11835015.744034089</v>
      </c>
      <c r="N52" s="757">
        <f>+K$29*M52+L52</f>
        <v>2509811.532070295</v>
      </c>
      <c r="O52" s="776">
        <f>+O51</f>
        <v>4991399.3106060605</v>
      </c>
      <c r="P52" s="775">
        <f>+P51</f>
        <v>119316.31818181818</v>
      </c>
      <c r="Q52" s="775">
        <f t="shared" si="11"/>
        <v>4872082.9924242422</v>
      </c>
      <c r="R52" s="757">
        <f>+O$29*Q52+P52</f>
        <v>1026791.2120129545</v>
      </c>
      <c r="S52" s="661">
        <f>+S51</f>
        <v>2342347.5024242415</v>
      </c>
      <c r="T52" s="630">
        <f>+T51</f>
        <v>58315.705454545445</v>
      </c>
      <c r="U52" s="630">
        <f t="shared" si="12"/>
        <v>2284031.7969696959</v>
      </c>
      <c r="V52" s="662">
        <f>+S$29*U52+T52</f>
        <v>483739.80346045474</v>
      </c>
      <c r="W52" s="661">
        <f>+W51</f>
        <v>29002782.837121211</v>
      </c>
      <c r="X52" s="630">
        <f>+X51</f>
        <v>693293.61363636365</v>
      </c>
      <c r="Y52" s="630">
        <f t="shared" si="13"/>
        <v>28309489.223484848</v>
      </c>
      <c r="Z52" s="662">
        <f>+W$29*Y52+X52</f>
        <v>5966223.2347947164</v>
      </c>
      <c r="AA52" s="661">
        <f>+AA51</f>
        <v>18897428.967803027</v>
      </c>
      <c r="AB52" s="630">
        <f>+AB51</f>
        <v>450833.29545454547</v>
      </c>
      <c r="AC52" s="630">
        <f t="shared" si="14"/>
        <v>18446595.672348481</v>
      </c>
      <c r="AD52" s="662">
        <f>+AA$29*AC52+AB52</f>
        <v>3886698.9150139051</v>
      </c>
      <c r="AE52" s="661">
        <f>+AE51</f>
        <v>190812.28409090912</v>
      </c>
      <c r="AF52" s="630">
        <f>+AF51</f>
        <v>4597.886363636364</v>
      </c>
      <c r="AG52" s="630">
        <f t="shared" si="15"/>
        <v>186214.39772727276</v>
      </c>
      <c r="AH52" s="662">
        <f>+AE$29*AG52+AF52</f>
        <v>39282.207437424702</v>
      </c>
      <c r="AI52" s="661">
        <f>+AI51</f>
        <v>12659281.662878787</v>
      </c>
      <c r="AJ52" s="630">
        <f>+AJ51</f>
        <v>295547.43181818182</v>
      </c>
      <c r="AK52" s="630">
        <f t="shared" si="19"/>
        <v>12363734.231060605</v>
      </c>
      <c r="AL52" s="662">
        <f>+AI$29*AK52+AJ52</f>
        <v>2598418.3858093396</v>
      </c>
      <c r="AM52" s="661">
        <f>+AM51</f>
        <v>4711843.9164772723</v>
      </c>
      <c r="AN52" s="630">
        <f>+AN51</f>
        <v>110866.91568181818</v>
      </c>
      <c r="AO52" s="630">
        <f t="shared" si="16"/>
        <v>4600977.0007954538</v>
      </c>
      <c r="AP52" s="662">
        <f>+AM$29*AO52+AN52</f>
        <v>967845.56768931018</v>
      </c>
      <c r="AQ52" s="661">
        <f>+AQ51</f>
        <v>38685853.143409088</v>
      </c>
      <c r="AR52" s="630">
        <f>+AR51</f>
        <v>904932.23727272719</v>
      </c>
      <c r="AS52" s="630">
        <f t="shared" si="17"/>
        <v>37780920.906136364</v>
      </c>
      <c r="AT52" s="662">
        <f>+AQ$29*AS52+AR52</f>
        <v>7942012.1149040964</v>
      </c>
      <c r="AU52" s="776">
        <f>+AU51</f>
        <v>26875000</v>
      </c>
      <c r="AV52" s="775">
        <f>+AV51</f>
        <v>750000</v>
      </c>
      <c r="AW52" s="775">
        <f t="shared" si="1"/>
        <v>26125000</v>
      </c>
      <c r="AX52" s="757">
        <f>+AU$29*AW52+AV52</f>
        <v>750000</v>
      </c>
      <c r="AY52" s="776">
        <f>+AY51</f>
        <v>17583333.333333332</v>
      </c>
      <c r="AZ52" s="775">
        <f>+AZ51</f>
        <v>500000</v>
      </c>
      <c r="BA52" s="775">
        <f t="shared" si="2"/>
        <v>17083333.333333332</v>
      </c>
      <c r="BB52" s="757">
        <f>+AY$29*BA52+AZ52</f>
        <v>500000</v>
      </c>
      <c r="BC52" s="776">
        <f>+BC51</f>
        <v>27250000</v>
      </c>
      <c r="BD52" s="775">
        <f>+BD51</f>
        <v>750000</v>
      </c>
      <c r="BE52" s="775">
        <f t="shared" si="4"/>
        <v>26500000</v>
      </c>
      <c r="BF52" s="757">
        <f>+BC$29*BE52+BD52</f>
        <v>750000</v>
      </c>
      <c r="BG52" s="776">
        <f>+BG51</f>
        <v>18238095.238095239</v>
      </c>
      <c r="BH52" s="775">
        <f>+BH51</f>
        <v>571428.57142857148</v>
      </c>
      <c r="BI52" s="775">
        <f t="shared" si="5"/>
        <v>17666666.666666668</v>
      </c>
      <c r="BJ52" s="757">
        <f>+BG$29*BI52+BH52</f>
        <v>571428.57142857148</v>
      </c>
      <c r="BK52" s="776">
        <f>+BK51</f>
        <v>27200000</v>
      </c>
      <c r="BL52" s="775">
        <f>+BL51</f>
        <v>1200000</v>
      </c>
      <c r="BM52" s="775">
        <f t="shared" si="9"/>
        <v>26000000</v>
      </c>
      <c r="BN52" s="757">
        <f>+BK$29*BM52+BL52</f>
        <v>1200000</v>
      </c>
      <c r="BO52" s="776">
        <f>+BO51</f>
        <v>18499999.999999996</v>
      </c>
      <c r="BP52" s="775">
        <f>+BP51</f>
        <v>666666.66666666663</v>
      </c>
      <c r="BQ52" s="775">
        <f t="shared" si="10"/>
        <v>17833333.333333328</v>
      </c>
      <c r="BR52" s="757">
        <f>+BO$29*BQ52+BP52</f>
        <v>666666.66666666663</v>
      </c>
      <c r="BS52" s="661">
        <f>+BS51</f>
        <v>357368.11363636365</v>
      </c>
      <c r="BT52" s="630">
        <f>+BT51</f>
        <v>8310.886363636364</v>
      </c>
      <c r="BU52" s="630">
        <f t="shared" si="18"/>
        <v>349057.22727272729</v>
      </c>
      <c r="BV52" s="662">
        <f>+BS$29*BU52+BT52</f>
        <v>73326.336788608678</v>
      </c>
      <c r="BW52" s="661">
        <f>+BW51</f>
        <v>24948383.079545453</v>
      </c>
      <c r="BX52" s="630">
        <f>+BX51</f>
        <v>576841.22727272729</v>
      </c>
      <c r="BY52" s="630">
        <f t="shared" si="20"/>
        <v>24371541.852272727</v>
      </c>
      <c r="BZ52" s="662">
        <f>+BW$29*BY52+BX52</f>
        <v>4922446.3544366667</v>
      </c>
      <c r="CA52" s="661">
        <f>+CA51</f>
        <v>2354267.04</v>
      </c>
      <c r="CB52" s="630">
        <f>+CB51</f>
        <v>54433.919999999998</v>
      </c>
      <c r="CC52" s="630">
        <f t="shared" si="21"/>
        <v>2299833.12</v>
      </c>
      <c r="CD52" s="662">
        <f>+CA$29*CC52+CB52</f>
        <v>482801.17475459632</v>
      </c>
      <c r="CE52" s="661">
        <f>+CE51</f>
        <v>204357.50818181818</v>
      </c>
      <c r="CF52" s="630">
        <f>+CF51</f>
        <v>4725.0290909090909</v>
      </c>
      <c r="CG52" s="630">
        <f t="shared" si="22"/>
        <v>199632.4790909091</v>
      </c>
      <c r="CH52" s="662">
        <f>+CE$29*CG52+CF52</f>
        <v>41908.603970475604</v>
      </c>
      <c r="CI52" s="661">
        <f>+CI51</f>
        <v>543960</v>
      </c>
      <c r="CJ52" s="630">
        <f>+CJ51</f>
        <v>9272.045454545454</v>
      </c>
      <c r="CK52" s="630">
        <f t="shared" ref="CK52:CK115" si="24">+CI52-CJ52</f>
        <v>534687.95454545459</v>
      </c>
      <c r="CL52" s="662">
        <f t="shared" si="23"/>
        <v>91811.356702548946</v>
      </c>
      <c r="CM52" s="661"/>
      <c r="CN52" s="630"/>
      <c r="CO52" s="630"/>
      <c r="CP52" s="662"/>
      <c r="CQ52" s="661"/>
      <c r="CR52" s="630"/>
      <c r="CS52" s="630"/>
      <c r="CT52" s="662"/>
      <c r="CU52" s="661"/>
      <c r="CV52" s="630"/>
      <c r="CW52" s="630"/>
      <c r="CX52" s="662"/>
      <c r="CY52" s="782">
        <f>+R52+J52+F52+N52+V52+Z52+AD52+AH52+AL52+AP52+AT52+BV52+BZ52+CD52+CH52+CL52</f>
        <v>35747594.774481349</v>
      </c>
      <c r="CZ52" s="779">
        <f>+CY52</f>
        <v>35747594.774481349</v>
      </c>
      <c r="DA52" s="752"/>
      <c r="DB52" s="800"/>
      <c r="DD52" s="661"/>
      <c r="DE52" s="630"/>
      <c r="DF52" s="630"/>
      <c r="DG52" s="662"/>
      <c r="DH52" s="661"/>
      <c r="DI52" s="630"/>
      <c r="DJ52" s="630"/>
      <c r="DK52" s="662"/>
      <c r="DL52" s="661"/>
      <c r="DM52" s="630"/>
      <c r="DN52" s="630"/>
      <c r="DO52" s="662"/>
      <c r="DP52" s="661"/>
      <c r="DQ52" s="630"/>
      <c r="DR52" s="630"/>
      <c r="DS52" s="662"/>
      <c r="DT52" s="661"/>
      <c r="DU52" s="630"/>
      <c r="DV52" s="630"/>
      <c r="DW52" s="662"/>
      <c r="DX52" s="661"/>
      <c r="DY52" s="630"/>
      <c r="DZ52" s="630"/>
      <c r="EA52" s="662"/>
      <c r="EB52" s="661"/>
      <c r="EC52" s="630"/>
      <c r="ED52" s="630"/>
      <c r="EE52" s="662"/>
      <c r="EF52" s="661"/>
      <c r="EG52" s="630"/>
      <c r="EH52" s="630"/>
      <c r="EI52" s="662"/>
      <c r="EJ52" s="661"/>
      <c r="EK52" s="630"/>
      <c r="EL52" s="630"/>
      <c r="EM52" s="662"/>
      <c r="EN52" s="661"/>
      <c r="EO52" s="630"/>
      <c r="EP52" s="630"/>
      <c r="EQ52" s="662"/>
      <c r="ER52" s="661"/>
      <c r="ES52" s="630"/>
      <c r="ET52" s="630"/>
      <c r="EU52" s="662"/>
      <c r="EW52" s="661"/>
      <c r="EX52" s="630"/>
      <c r="EY52" s="630"/>
      <c r="EZ52" s="662"/>
      <c r="FA52" s="661"/>
      <c r="FB52" s="630"/>
      <c r="FC52" s="630"/>
      <c r="FD52" s="662"/>
    </row>
    <row r="53" spans="1:161">
      <c r="A53" s="753" t="s">
        <v>24</v>
      </c>
      <c r="B53" s="774">
        <f t="shared" si="0"/>
        <v>2013</v>
      </c>
      <c r="C53" s="775">
        <f>+E52</f>
        <v>17720231.367613636</v>
      </c>
      <c r="D53" s="775">
        <f>+C$31</f>
        <v>445791.98409090913</v>
      </c>
      <c r="E53" s="775">
        <f t="shared" si="6"/>
        <v>17274439.383522727</v>
      </c>
      <c r="F53" s="757">
        <f>+C$28*E53+D53</f>
        <v>3525937.3769815406</v>
      </c>
      <c r="G53" s="775">
        <f>+I52</f>
        <v>4575709.607045453</v>
      </c>
      <c r="H53" s="775">
        <f>+G$31</f>
        <v>115840.74954545456</v>
      </c>
      <c r="I53" s="775">
        <f t="shared" si="7"/>
        <v>4459868.8574999981</v>
      </c>
      <c r="J53" s="757">
        <f>+G$28*I53+H53</f>
        <v>911064.50235957722</v>
      </c>
      <c r="K53" s="776">
        <f>+M52</f>
        <v>11835015.744034089</v>
      </c>
      <c r="L53" s="775">
        <f>+K$31</f>
        <v>305419.76113636367</v>
      </c>
      <c r="M53" s="775">
        <f t="shared" si="8"/>
        <v>11529595.982897725</v>
      </c>
      <c r="N53" s="757">
        <f>+K$28*M53+L53</f>
        <v>2361222.0456658849</v>
      </c>
      <c r="O53" s="776">
        <f>+Q52</f>
        <v>4872082.9924242422</v>
      </c>
      <c r="P53" s="775">
        <f>+O$31</f>
        <v>119316.31818181818</v>
      </c>
      <c r="Q53" s="775">
        <f t="shared" si="11"/>
        <v>4752766.6742424238</v>
      </c>
      <c r="R53" s="757">
        <f>+O$28*Q53+P53</f>
        <v>966765.66516992263</v>
      </c>
      <c r="S53" s="661">
        <f>+U52</f>
        <v>2284031.7969696959</v>
      </c>
      <c r="T53" s="630">
        <f>+S$31</f>
        <v>58315.705454545445</v>
      </c>
      <c r="U53" s="630">
        <f t="shared" si="12"/>
        <v>2225716.0915151504</v>
      </c>
      <c r="V53" s="662">
        <f>+S$28*U53+T53</f>
        <v>455175.42477499408</v>
      </c>
      <c r="W53" s="661">
        <f>+Y52</f>
        <v>28309489.223484848</v>
      </c>
      <c r="X53" s="630">
        <f>+W$31</f>
        <v>693293.61363636365</v>
      </c>
      <c r="Y53" s="630">
        <f t="shared" si="13"/>
        <v>27616195.609848484</v>
      </c>
      <c r="Z53" s="662">
        <f>+W$28*Y53+X53</f>
        <v>5617441.7025160417</v>
      </c>
      <c r="AA53" s="661">
        <f>+AC52</f>
        <v>18446595.672348481</v>
      </c>
      <c r="AB53" s="630">
        <f>+AA$31</f>
        <v>450833.29545454547</v>
      </c>
      <c r="AC53" s="630">
        <f t="shared" si="14"/>
        <v>17995762.376893934</v>
      </c>
      <c r="AD53" s="662">
        <f>+AA$28*AC53+AB53</f>
        <v>3659595.2903367677</v>
      </c>
      <c r="AE53" s="661">
        <f>+AG52</f>
        <v>186214.39772727276</v>
      </c>
      <c r="AF53" s="630">
        <f>+AE$31</f>
        <v>4597.886363636364</v>
      </c>
      <c r="AG53" s="630">
        <f t="shared" si="15"/>
        <v>181616.51136363641</v>
      </c>
      <c r="AH53" s="662">
        <f>+AE$28*AG53+AF53</f>
        <v>36981.296807807652</v>
      </c>
      <c r="AI53" s="661">
        <f>+AK52</f>
        <v>12363734.231060605</v>
      </c>
      <c r="AJ53" s="630">
        <f>+AI$31</f>
        <v>295547.43181818182</v>
      </c>
      <c r="AK53" s="630">
        <f t="shared" si="19"/>
        <v>12068186.799242424</v>
      </c>
      <c r="AL53" s="662">
        <f>+AI$28*AK53+AJ53</f>
        <v>2447383.9774189889</v>
      </c>
      <c r="AM53" s="661">
        <f>+AO52</f>
        <v>4600977.0007954538</v>
      </c>
      <c r="AN53" s="630">
        <f>+AM$31</f>
        <v>110866.91568181818</v>
      </c>
      <c r="AO53" s="630">
        <f t="shared" si="16"/>
        <v>4490110.0851136353</v>
      </c>
      <c r="AP53" s="662">
        <f>+AM$28*AO53+AN53</f>
        <v>911482.87693995843</v>
      </c>
      <c r="AQ53" s="661">
        <f>+AS52</f>
        <v>37780920.906136364</v>
      </c>
      <c r="AR53" s="630">
        <f>+AQ$31</f>
        <v>904932.23727272719</v>
      </c>
      <c r="AS53" s="630">
        <f t="shared" si="17"/>
        <v>36875988.668863639</v>
      </c>
      <c r="AT53" s="662">
        <f>+AQ$28*AS53+AR53</f>
        <v>7480161.921139014</v>
      </c>
      <c r="AU53" s="776">
        <f>+AW52</f>
        <v>26125000</v>
      </c>
      <c r="AV53" s="775">
        <f>+AU$31</f>
        <v>750000</v>
      </c>
      <c r="AW53" s="775">
        <f t="shared" si="1"/>
        <v>25375000</v>
      </c>
      <c r="AX53" s="757">
        <f>+AU$28*AW53+AV53</f>
        <v>750000</v>
      </c>
      <c r="AY53" s="776">
        <f>+BA52</f>
        <v>17083333.333333332</v>
      </c>
      <c r="AZ53" s="775">
        <f>+AY$31</f>
        <v>500000</v>
      </c>
      <c r="BA53" s="775">
        <f t="shared" si="2"/>
        <v>16583333.333333332</v>
      </c>
      <c r="BB53" s="757">
        <f>+AY$28*BA53+AZ53</f>
        <v>500000</v>
      </c>
      <c r="BC53" s="776">
        <f>+BE52</f>
        <v>26500000</v>
      </c>
      <c r="BD53" s="775">
        <f>+BC$31</f>
        <v>750000</v>
      </c>
      <c r="BE53" s="775">
        <f t="shared" si="4"/>
        <v>25750000</v>
      </c>
      <c r="BF53" s="757">
        <f>+BC$28*BE53+BD53</f>
        <v>750000</v>
      </c>
      <c r="BG53" s="776">
        <f>+BI52</f>
        <v>17666666.666666668</v>
      </c>
      <c r="BH53" s="775">
        <f>+BG$31</f>
        <v>571428.57142857148</v>
      </c>
      <c r="BI53" s="775">
        <f t="shared" si="5"/>
        <v>17095238.095238097</v>
      </c>
      <c r="BJ53" s="757">
        <f>+BG$28*BI53+BH53</f>
        <v>571428.57142857148</v>
      </c>
      <c r="BK53" s="776">
        <f>+BM52</f>
        <v>26000000</v>
      </c>
      <c r="BL53" s="775">
        <f>+BK$31</f>
        <v>1200000</v>
      </c>
      <c r="BM53" s="775">
        <f t="shared" si="9"/>
        <v>24800000</v>
      </c>
      <c r="BN53" s="757">
        <f>+BK$28*BM53+BL53</f>
        <v>1200000</v>
      </c>
      <c r="BO53" s="776">
        <f>+BQ52</f>
        <v>17833333.333333328</v>
      </c>
      <c r="BP53" s="775">
        <f>+BO$31</f>
        <v>666666.66666666663</v>
      </c>
      <c r="BQ53" s="775">
        <f t="shared" si="10"/>
        <v>17166666.66666666</v>
      </c>
      <c r="BR53" s="757">
        <f>+BO$28*BQ53+BP53</f>
        <v>666666.66666666663</v>
      </c>
      <c r="BS53" s="661">
        <f>+BU52</f>
        <v>349057.22727272729</v>
      </c>
      <c r="BT53" s="630">
        <f>+BS$31</f>
        <v>8310.886363636364</v>
      </c>
      <c r="BU53" s="630">
        <f t="shared" si="18"/>
        <v>340746.34090909094</v>
      </c>
      <c r="BV53" s="662">
        <f>+BS$28*BU53+BT53</f>
        <v>69068.184982345323</v>
      </c>
      <c r="BW53" s="661">
        <f>+BY52</f>
        <v>24371541.852272727</v>
      </c>
      <c r="BX53" s="630">
        <f>+BW$31</f>
        <v>576841.22727272729</v>
      </c>
      <c r="BY53" s="630">
        <f t="shared" si="20"/>
        <v>23794700.625</v>
      </c>
      <c r="BZ53" s="662">
        <f>+BW$28*BY53+BX53</f>
        <v>4819591.7952138521</v>
      </c>
      <c r="CA53" s="661">
        <f>+CC52</f>
        <v>2299833.12</v>
      </c>
      <c r="CB53" s="630">
        <f>+CA$31</f>
        <v>54433.919999999998</v>
      </c>
      <c r="CC53" s="630">
        <f t="shared" si="21"/>
        <v>2245399.2000000002</v>
      </c>
      <c r="CD53" s="662">
        <f>+CA$28*CC53+CB53</f>
        <v>454803.2661495083</v>
      </c>
      <c r="CE53" s="661">
        <f>+CG52</f>
        <v>199632.4790909091</v>
      </c>
      <c r="CF53" s="630">
        <f>+CE$31</f>
        <v>4725.0290909090909</v>
      </c>
      <c r="CG53" s="630">
        <f t="shared" si="22"/>
        <v>194907.45</v>
      </c>
      <c r="CH53" s="662">
        <f>+CE$28*CG53+CF53</f>
        <v>39478.300721257932</v>
      </c>
      <c r="CI53" s="661">
        <f>+CK52</f>
        <v>534687.95454545459</v>
      </c>
      <c r="CJ53" s="630">
        <f>+CI$31</f>
        <v>12362.727272727272</v>
      </c>
      <c r="CK53" s="630">
        <f t="shared" si="24"/>
        <v>522325.22727272729</v>
      </c>
      <c r="CL53" s="662">
        <f>+CI$28*CK53+CJ53</f>
        <v>105496.72755231013</v>
      </c>
      <c r="CM53" s="661"/>
      <c r="CN53" s="630"/>
      <c r="CO53" s="630"/>
      <c r="CP53" s="662"/>
      <c r="CQ53" s="661"/>
      <c r="CR53" s="630"/>
      <c r="CS53" s="630"/>
      <c r="CT53" s="662"/>
      <c r="CU53" s="661"/>
      <c r="CV53" s="630"/>
      <c r="CW53" s="630"/>
      <c r="CX53" s="662"/>
      <c r="CY53" s="782">
        <f t="shared" ref="CY53:CY116" si="25">+R53+J53+F53+N53+V53+Z53+AD53+AH53+AL53+AP53+AT53+BV53+BZ53+CD53+CH53+CL53</f>
        <v>33861650.354729772</v>
      </c>
      <c r="CZ53" s="756"/>
      <c r="DA53" s="778">
        <f>+CY53</f>
        <v>33861650.354729772</v>
      </c>
      <c r="DB53" s="645"/>
      <c r="DD53" s="661"/>
      <c r="DE53" s="630"/>
      <c r="DF53" s="630"/>
      <c r="DG53" s="662"/>
      <c r="DH53" s="661"/>
      <c r="DI53" s="630"/>
      <c r="DJ53" s="630"/>
      <c r="DK53" s="662"/>
      <c r="DL53" s="661"/>
      <c r="DM53" s="630"/>
      <c r="DN53" s="630"/>
      <c r="DO53" s="662"/>
      <c r="DP53" s="661"/>
      <c r="DQ53" s="630"/>
      <c r="DR53" s="630"/>
      <c r="DS53" s="662"/>
      <c r="DT53" s="661"/>
      <c r="DU53" s="630"/>
      <c r="DV53" s="630"/>
      <c r="DW53" s="662"/>
      <c r="DX53" s="661"/>
      <c r="DY53" s="630"/>
      <c r="DZ53" s="630"/>
      <c r="EA53" s="662"/>
      <c r="EB53" s="661"/>
      <c r="EC53" s="630"/>
      <c r="ED53" s="630"/>
      <c r="EE53" s="662"/>
      <c r="EF53" s="661"/>
      <c r="EG53" s="630"/>
      <c r="EH53" s="630"/>
      <c r="EI53" s="662"/>
      <c r="EJ53" s="661"/>
      <c r="EK53" s="630"/>
      <c r="EL53" s="630"/>
      <c r="EM53" s="662"/>
      <c r="EN53" s="661"/>
      <c r="EO53" s="630"/>
      <c r="EP53" s="630"/>
      <c r="EQ53" s="662"/>
      <c r="ER53" s="661"/>
      <c r="ES53" s="630"/>
      <c r="ET53" s="630"/>
      <c r="EU53" s="662"/>
      <c r="EW53" s="661"/>
      <c r="EX53" s="630"/>
      <c r="EY53" s="630"/>
      <c r="EZ53" s="662"/>
      <c r="FA53" s="661"/>
      <c r="FB53" s="630"/>
      <c r="FC53" s="630"/>
      <c r="FD53" s="662"/>
    </row>
    <row r="54" spans="1:161">
      <c r="A54" s="753" t="s">
        <v>23</v>
      </c>
      <c r="B54" s="774">
        <f t="shared" si="0"/>
        <v>2013</v>
      </c>
      <c r="C54" s="775">
        <f>+C53</f>
        <v>17720231.367613636</v>
      </c>
      <c r="D54" s="775">
        <f>+D53</f>
        <v>445791.98409090913</v>
      </c>
      <c r="E54" s="775">
        <f t="shared" si="6"/>
        <v>17274439.383522727</v>
      </c>
      <c r="F54" s="757">
        <f>+C$29*E54+D54</f>
        <v>3663331.6011150833</v>
      </c>
      <c r="G54" s="775">
        <f>+G53</f>
        <v>4575709.607045453</v>
      </c>
      <c r="H54" s="775">
        <f>+H53</f>
        <v>115840.74954545456</v>
      </c>
      <c r="I54" s="775">
        <f t="shared" si="7"/>
        <v>4459868.8574999981</v>
      </c>
      <c r="J54" s="757">
        <f>+G$29*I54+H54</f>
        <v>946536.57805530401</v>
      </c>
      <c r="K54" s="776">
        <f>+K53</f>
        <v>11835015.744034089</v>
      </c>
      <c r="L54" s="775">
        <f>+L53</f>
        <v>305419.76113636367</v>
      </c>
      <c r="M54" s="775">
        <f t="shared" si="8"/>
        <v>11529595.982897725</v>
      </c>
      <c r="N54" s="757">
        <f>+K$29*M54+L54</f>
        <v>2452924.0024978067</v>
      </c>
      <c r="O54" s="776">
        <f>+O53</f>
        <v>4872082.9924242422</v>
      </c>
      <c r="P54" s="775">
        <f>+P53</f>
        <v>119316.31818181818</v>
      </c>
      <c r="Q54" s="775">
        <f t="shared" si="11"/>
        <v>4752766.6742424238</v>
      </c>
      <c r="R54" s="757">
        <f>+O$29*Q54+P54</f>
        <v>1004567.337061988</v>
      </c>
      <c r="S54" s="661">
        <f>+S53</f>
        <v>2284031.7969696959</v>
      </c>
      <c r="T54" s="630">
        <f>+T53</f>
        <v>58315.705454545445</v>
      </c>
      <c r="U54" s="630">
        <f t="shared" si="12"/>
        <v>2225716.0915151504</v>
      </c>
      <c r="V54" s="662">
        <f>+S$29*U54+T54</f>
        <v>472877.91159647406</v>
      </c>
      <c r="W54" s="661">
        <f>+W53</f>
        <v>28309489.223484848</v>
      </c>
      <c r="X54" s="630">
        <f>+X53</f>
        <v>693293.61363636365</v>
      </c>
      <c r="Y54" s="630">
        <f t="shared" si="13"/>
        <v>27616195.609848484</v>
      </c>
      <c r="Z54" s="662">
        <f>+W$29*Y54+X54</f>
        <v>5837090.2644806346</v>
      </c>
      <c r="AA54" s="661">
        <f>+AA53</f>
        <v>18446595.672348481</v>
      </c>
      <c r="AB54" s="630">
        <f>+AB53</f>
        <v>450833.29545454547</v>
      </c>
      <c r="AC54" s="630">
        <f t="shared" si="14"/>
        <v>17995762.376893934</v>
      </c>
      <c r="AD54" s="662">
        <f>+AA$29*AC54+AB54</f>
        <v>3802726.6391794602</v>
      </c>
      <c r="AE54" s="661">
        <f>+AE53</f>
        <v>186214.39772727276</v>
      </c>
      <c r="AF54" s="630">
        <f>+AF53</f>
        <v>4597.886363636364</v>
      </c>
      <c r="AG54" s="630">
        <f t="shared" si="15"/>
        <v>181616.51136363641</v>
      </c>
      <c r="AH54" s="662">
        <f>+AE$29*AG54+AF54</f>
        <v>38425.804447948438</v>
      </c>
      <c r="AI54" s="661">
        <f>+AI53</f>
        <v>12363734.231060605</v>
      </c>
      <c r="AJ54" s="630">
        <f>+AJ53</f>
        <v>295547.43181818182</v>
      </c>
      <c r="AK54" s="630">
        <f t="shared" si="19"/>
        <v>12068186.799242424</v>
      </c>
      <c r="AL54" s="662">
        <f>+AI$29*AK54+AJ54</f>
        <v>2543369.6777458061</v>
      </c>
      <c r="AM54" s="661">
        <f>+AM53</f>
        <v>4600977.0007954538</v>
      </c>
      <c r="AN54" s="630">
        <f>+AN53</f>
        <v>110866.91568181818</v>
      </c>
      <c r="AO54" s="630">
        <f t="shared" si="16"/>
        <v>4490110.0851136353</v>
      </c>
      <c r="AP54" s="662">
        <f>+AM$29*AO54+AN54</f>
        <v>947195.47968912963</v>
      </c>
      <c r="AQ54" s="661">
        <f>+AQ53</f>
        <v>37780920.906136364</v>
      </c>
      <c r="AR54" s="630">
        <f>+AR53</f>
        <v>904932.23727272719</v>
      </c>
      <c r="AS54" s="630">
        <f t="shared" si="17"/>
        <v>36875988.668863639</v>
      </c>
      <c r="AT54" s="662">
        <f>+AQ$29*AS54+AR54</f>
        <v>7773459.3034638241</v>
      </c>
      <c r="AU54" s="776">
        <f>+AU53</f>
        <v>26125000</v>
      </c>
      <c r="AV54" s="775">
        <f>+AV53</f>
        <v>750000</v>
      </c>
      <c r="AW54" s="775">
        <f t="shared" si="1"/>
        <v>25375000</v>
      </c>
      <c r="AX54" s="757">
        <f>+AU$29*AW54+AV54</f>
        <v>750000</v>
      </c>
      <c r="AY54" s="776">
        <f>+AY53</f>
        <v>17083333.333333332</v>
      </c>
      <c r="AZ54" s="775">
        <f>+AZ53</f>
        <v>500000</v>
      </c>
      <c r="BA54" s="775">
        <f t="shared" si="2"/>
        <v>16583333.333333332</v>
      </c>
      <c r="BB54" s="757">
        <f>+AY$29*BA54+AZ54</f>
        <v>500000</v>
      </c>
      <c r="BC54" s="776">
        <f>+BC53</f>
        <v>26500000</v>
      </c>
      <c r="BD54" s="775">
        <f>+BD53</f>
        <v>750000</v>
      </c>
      <c r="BE54" s="775">
        <f t="shared" si="4"/>
        <v>25750000</v>
      </c>
      <c r="BF54" s="757">
        <f>+BC$29*BE54+BD54</f>
        <v>750000</v>
      </c>
      <c r="BG54" s="776">
        <f>+BG53</f>
        <v>17666666.666666668</v>
      </c>
      <c r="BH54" s="775">
        <f>+BH53</f>
        <v>571428.57142857148</v>
      </c>
      <c r="BI54" s="775">
        <f t="shared" si="5"/>
        <v>17095238.095238097</v>
      </c>
      <c r="BJ54" s="757">
        <f>+BG$29*BI54+BH54</f>
        <v>571428.57142857148</v>
      </c>
      <c r="BK54" s="776">
        <f>+BK53</f>
        <v>26000000</v>
      </c>
      <c r="BL54" s="775">
        <f>+BL53</f>
        <v>1200000</v>
      </c>
      <c r="BM54" s="775">
        <f t="shared" si="9"/>
        <v>24800000</v>
      </c>
      <c r="BN54" s="757">
        <f>+BK$29*BM54+BL54</f>
        <v>1200000</v>
      </c>
      <c r="BO54" s="776">
        <f>+BO53</f>
        <v>17833333.333333328</v>
      </c>
      <c r="BP54" s="775">
        <f>+BP53</f>
        <v>666666.66666666663</v>
      </c>
      <c r="BQ54" s="775">
        <f t="shared" si="10"/>
        <v>17166666.66666666</v>
      </c>
      <c r="BR54" s="757">
        <f>+BO$29*BQ54+BP54</f>
        <v>666666.66666666663</v>
      </c>
      <c r="BS54" s="661">
        <f>+BS53</f>
        <v>349057.22727272729</v>
      </c>
      <c r="BT54" s="630">
        <f>+BT53</f>
        <v>8310.886363636364</v>
      </c>
      <c r="BU54" s="630">
        <f t="shared" si="18"/>
        <v>340746.34090909094</v>
      </c>
      <c r="BV54" s="662">
        <f>+BS$29*BU54+BT54</f>
        <v>71778.349873728381</v>
      </c>
      <c r="BW54" s="661">
        <f>+BW53</f>
        <v>24371541.852272727</v>
      </c>
      <c r="BX54" s="630">
        <f>+BX53</f>
        <v>576841.22727272729</v>
      </c>
      <c r="BY54" s="630">
        <f t="shared" si="20"/>
        <v>23794700.625</v>
      </c>
      <c r="BZ54" s="662">
        <f>+BW$29*BY54+BX54</f>
        <v>4819591.7952138521</v>
      </c>
      <c r="CA54" s="661">
        <f>+CA53</f>
        <v>2299833.12</v>
      </c>
      <c r="CB54" s="630">
        <f>+CB53</f>
        <v>54433.919999999998</v>
      </c>
      <c r="CC54" s="630">
        <f t="shared" si="21"/>
        <v>2245399.2000000002</v>
      </c>
      <c r="CD54" s="662">
        <f>+CA$29*CC54+CB54</f>
        <v>472662.30481957633</v>
      </c>
      <c r="CE54" s="661">
        <f>+CE53</f>
        <v>199632.4790909091</v>
      </c>
      <c r="CF54" s="630">
        <f>+CF53</f>
        <v>4725.0290909090909</v>
      </c>
      <c r="CG54" s="630">
        <f t="shared" si="22"/>
        <v>194907.45</v>
      </c>
      <c r="CH54" s="662">
        <f>+CE$29*CG54+CF54</f>
        <v>41028.519357941484</v>
      </c>
      <c r="CI54" s="661">
        <f>+CI53</f>
        <v>534687.95454545459</v>
      </c>
      <c r="CJ54" s="630">
        <f>+CJ53</f>
        <v>12362.727272727272</v>
      </c>
      <c r="CK54" s="630">
        <f t="shared" si="24"/>
        <v>522325.22727272729</v>
      </c>
      <c r="CL54" s="662">
        <f>+CI$29*CK54+CJ54</f>
        <v>105496.72755231013</v>
      </c>
      <c r="CM54" s="661"/>
      <c r="CN54" s="630"/>
      <c r="CO54" s="630"/>
      <c r="CP54" s="662"/>
      <c r="CQ54" s="661"/>
      <c r="CR54" s="630"/>
      <c r="CS54" s="630"/>
      <c r="CT54" s="662"/>
      <c r="CU54" s="661"/>
      <c r="CV54" s="630"/>
      <c r="CW54" s="630"/>
      <c r="CX54" s="662"/>
      <c r="CY54" s="782">
        <f t="shared" si="25"/>
        <v>34993062.296150863</v>
      </c>
      <c r="CZ54" s="779">
        <f>+CY54</f>
        <v>34993062.296150863</v>
      </c>
      <c r="DA54" s="752"/>
      <c r="DB54" s="800"/>
      <c r="DD54" s="661"/>
      <c r="DE54" s="630"/>
      <c r="DF54" s="630"/>
      <c r="DG54" s="662"/>
      <c r="DH54" s="661"/>
      <c r="DI54" s="630"/>
      <c r="DJ54" s="630"/>
      <c r="DK54" s="662"/>
      <c r="DL54" s="661"/>
      <c r="DM54" s="630"/>
      <c r="DN54" s="630"/>
      <c r="DO54" s="662"/>
      <c r="DP54" s="661"/>
      <c r="DQ54" s="630"/>
      <c r="DR54" s="630"/>
      <c r="DS54" s="662"/>
      <c r="DT54" s="661"/>
      <c r="DU54" s="630"/>
      <c r="DV54" s="630"/>
      <c r="DW54" s="662"/>
      <c r="DX54" s="661"/>
      <c r="DY54" s="630"/>
      <c r="DZ54" s="630"/>
      <c r="EA54" s="662"/>
      <c r="EB54" s="661"/>
      <c r="EC54" s="630"/>
      <c r="ED54" s="630"/>
      <c r="EE54" s="662"/>
      <c r="EF54" s="661"/>
      <c r="EG54" s="630"/>
      <c r="EH54" s="630"/>
      <c r="EI54" s="662"/>
      <c r="EJ54" s="661"/>
      <c r="EK54" s="630"/>
      <c r="EL54" s="630"/>
      <c r="EM54" s="662"/>
      <c r="EN54" s="661"/>
      <c r="EO54" s="630"/>
      <c r="EP54" s="630"/>
      <c r="EQ54" s="662"/>
      <c r="ER54" s="661"/>
      <c r="ES54" s="630"/>
      <c r="ET54" s="630"/>
      <c r="EU54" s="662"/>
      <c r="EW54" s="661"/>
      <c r="EX54" s="630"/>
      <c r="EY54" s="630"/>
      <c r="EZ54" s="662"/>
      <c r="FA54" s="661"/>
      <c r="FB54" s="630"/>
      <c r="FC54" s="630"/>
      <c r="FD54" s="662"/>
    </row>
    <row r="55" spans="1:161">
      <c r="A55" s="753" t="s">
        <v>24</v>
      </c>
      <c r="B55" s="774">
        <f t="shared" si="0"/>
        <v>2014</v>
      </c>
      <c r="C55" s="775">
        <f>+E54</f>
        <v>17274439.383522727</v>
      </c>
      <c r="D55" s="775">
        <f>+C$31</f>
        <v>445791.98409090913</v>
      </c>
      <c r="E55" s="775">
        <f t="shared" si="6"/>
        <v>16828647.399431817</v>
      </c>
      <c r="F55" s="757">
        <f>+C$28*E55+D55</f>
        <v>3446449.7539392011</v>
      </c>
      <c r="G55" s="775">
        <f>+I54</f>
        <v>4459868.8574999981</v>
      </c>
      <c r="H55" s="775">
        <f>+G$31</f>
        <v>115840.74954545456</v>
      </c>
      <c r="I55" s="775">
        <f t="shared" si="7"/>
        <v>4344028.1079545431</v>
      </c>
      <c r="J55" s="757">
        <f>+G$28*I55+H55</f>
        <v>890409.33994882065</v>
      </c>
      <c r="K55" s="776">
        <f>+M54</f>
        <v>11529595.982897725</v>
      </c>
      <c r="L55" s="775">
        <f>+K$31</f>
        <v>305419.76113636367</v>
      </c>
      <c r="M55" s="775">
        <f t="shared" si="8"/>
        <v>11224176.221761361</v>
      </c>
      <c r="N55" s="757">
        <f>+K$28*M55+L55</f>
        <v>2306763.7070028512</v>
      </c>
      <c r="O55" s="776">
        <f>+Q54</f>
        <v>4752766.6742424238</v>
      </c>
      <c r="P55" s="775">
        <f>+O$31</f>
        <v>119316.31818181818</v>
      </c>
      <c r="Q55" s="775">
        <f t="shared" si="11"/>
        <v>4633450.3560606055</v>
      </c>
      <c r="R55" s="757">
        <f>+O$28*Q55+P55</f>
        <v>945490.7861660372</v>
      </c>
      <c r="S55" s="661">
        <f>+U54</f>
        <v>2225716.0915151504</v>
      </c>
      <c r="T55" s="630">
        <f>+S$31</f>
        <v>58315.705454545445</v>
      </c>
      <c r="U55" s="630">
        <f t="shared" si="12"/>
        <v>2167400.3860606048</v>
      </c>
      <c r="V55" s="662">
        <f>+S$28*U55+T55</f>
        <v>444777.35352642334</v>
      </c>
      <c r="W55" s="661">
        <f>+Y54</f>
        <v>27616195.609848484</v>
      </c>
      <c r="X55" s="630">
        <f>+W$31</f>
        <v>693293.61363636365</v>
      </c>
      <c r="Y55" s="630">
        <f t="shared" si="13"/>
        <v>26922901.996212121</v>
      </c>
      <c r="Z55" s="662">
        <f>+W$28*Y55+X55</f>
        <v>5493822.9220420755</v>
      </c>
      <c r="AA55" s="661">
        <f>+AC54</f>
        <v>17995762.376893934</v>
      </c>
      <c r="AB55" s="630">
        <f>+AA$31</f>
        <v>450833.29545454547</v>
      </c>
      <c r="AC55" s="630">
        <f t="shared" si="14"/>
        <v>17544929.081439387</v>
      </c>
      <c r="AD55" s="662">
        <f>+AA$28*AC55+AB55</f>
        <v>3579208.7685443107</v>
      </c>
      <c r="AE55" s="661">
        <f>+AG54</f>
        <v>181616.51136363641</v>
      </c>
      <c r="AF55" s="630">
        <f>+AE$31</f>
        <v>4597.886363636364</v>
      </c>
      <c r="AG55" s="630">
        <f t="shared" si="15"/>
        <v>177018.62500000006</v>
      </c>
      <c r="AH55" s="662">
        <f>+AE$28*AG55+AF55</f>
        <v>36161.463632005849</v>
      </c>
      <c r="AI55" s="661">
        <f>+AK54</f>
        <v>12068186.799242424</v>
      </c>
      <c r="AJ55" s="630">
        <f>+AI$31</f>
        <v>295547.43181818182</v>
      </c>
      <c r="AK55" s="630">
        <f t="shared" si="19"/>
        <v>11772639.367424242</v>
      </c>
      <c r="AL55" s="662">
        <f>+AI$28*AK55+AJ55</f>
        <v>2394685.9395675408</v>
      </c>
      <c r="AM55" s="661">
        <f>+AO54</f>
        <v>4490110.0851136353</v>
      </c>
      <c r="AN55" s="630">
        <f>+AM$31</f>
        <v>110866.91568181818</v>
      </c>
      <c r="AO55" s="630">
        <f t="shared" si="16"/>
        <v>4379243.1694318168</v>
      </c>
      <c r="AP55" s="662">
        <f>+AM$28*AO55+AN55</f>
        <v>891714.58160025126</v>
      </c>
      <c r="AQ55" s="661">
        <f>+AS54</f>
        <v>36875988.668863639</v>
      </c>
      <c r="AR55" s="630">
        <f>+AQ$31</f>
        <v>904932.23727272719</v>
      </c>
      <c r="AS55" s="630">
        <f t="shared" si="17"/>
        <v>35971056.431590915</v>
      </c>
      <c r="AT55" s="662">
        <f>+AQ$28*AS55+AR55</f>
        <v>7318806.5914735841</v>
      </c>
      <c r="AU55" s="776">
        <f>+AW54</f>
        <v>25375000</v>
      </c>
      <c r="AV55" s="775">
        <f>+AU$31</f>
        <v>750000</v>
      </c>
      <c r="AW55" s="775">
        <f t="shared" si="1"/>
        <v>24625000</v>
      </c>
      <c r="AX55" s="757">
        <f>+AU$28*AW55+AV55</f>
        <v>750000</v>
      </c>
      <c r="AY55" s="776">
        <f>+BA54</f>
        <v>16583333.333333332</v>
      </c>
      <c r="AZ55" s="775">
        <f>+AY$31</f>
        <v>500000</v>
      </c>
      <c r="BA55" s="775">
        <f t="shared" si="2"/>
        <v>16083333.333333332</v>
      </c>
      <c r="BB55" s="757">
        <f>+AY$28*BA55+AZ55</f>
        <v>500000</v>
      </c>
      <c r="BC55" s="776">
        <f>+BE54</f>
        <v>25750000</v>
      </c>
      <c r="BD55" s="775">
        <f>+BC$31</f>
        <v>750000</v>
      </c>
      <c r="BE55" s="775">
        <f t="shared" si="4"/>
        <v>25000000</v>
      </c>
      <c r="BF55" s="757">
        <f>+BC$28*BE55+BD55</f>
        <v>750000</v>
      </c>
      <c r="BG55" s="776">
        <f>+BI54</f>
        <v>17095238.095238097</v>
      </c>
      <c r="BH55" s="775">
        <f>+BG$31</f>
        <v>571428.57142857148</v>
      </c>
      <c r="BI55" s="775">
        <f t="shared" si="5"/>
        <v>16523809.523809526</v>
      </c>
      <c r="BJ55" s="757">
        <f>+BG$28*BI55+BH55</f>
        <v>571428.57142857148</v>
      </c>
      <c r="BK55" s="776">
        <f>+BM54</f>
        <v>24800000</v>
      </c>
      <c r="BL55" s="775">
        <f>+BK$31</f>
        <v>1200000</v>
      </c>
      <c r="BM55" s="775">
        <f t="shared" si="9"/>
        <v>23600000</v>
      </c>
      <c r="BN55" s="757">
        <f>+BK$28*BM55+BL55</f>
        <v>1200000</v>
      </c>
      <c r="BO55" s="776">
        <f>+BQ54</f>
        <v>17166666.66666666</v>
      </c>
      <c r="BP55" s="775">
        <f>+BO$31</f>
        <v>666666.66666666663</v>
      </c>
      <c r="BQ55" s="775">
        <f t="shared" si="10"/>
        <v>16499999.999999994</v>
      </c>
      <c r="BR55" s="757">
        <f>+BO$28*BQ55+BP55</f>
        <v>666666.66666666663</v>
      </c>
      <c r="BS55" s="661">
        <f>+BU54</f>
        <v>340746.34090909094</v>
      </c>
      <c r="BT55" s="630">
        <f>+BS$31</f>
        <v>8310.886363636364</v>
      </c>
      <c r="BU55" s="630">
        <f t="shared" si="18"/>
        <v>332435.45454545459</v>
      </c>
      <c r="BV55" s="662">
        <f>+BS$28*BU55+BT55</f>
        <v>67586.299650181681</v>
      </c>
      <c r="BW55" s="661">
        <f>+BY54</f>
        <v>23794700.625</v>
      </c>
      <c r="BX55" s="630">
        <f>+BW$31</f>
        <v>576841.22727272729</v>
      </c>
      <c r="BY55" s="630">
        <f t="shared" si="20"/>
        <v>23217859.397727273</v>
      </c>
      <c r="BZ55" s="662">
        <f>+BW$28*BY55+BX55</f>
        <v>4716737.2359910365</v>
      </c>
      <c r="CA55" s="661">
        <f>+CC54</f>
        <v>2245399.2000000002</v>
      </c>
      <c r="CB55" s="630">
        <f>+CA$31</f>
        <v>54433.919999999998</v>
      </c>
      <c r="CC55" s="630">
        <f t="shared" si="21"/>
        <v>2190965.2800000003</v>
      </c>
      <c r="CD55" s="662">
        <f>+CA$28*CC55+CB55</f>
        <v>445097.34260648995</v>
      </c>
      <c r="CE55" s="661">
        <f>+CG54</f>
        <v>194907.45</v>
      </c>
      <c r="CF55" s="630">
        <f>+CE$31</f>
        <v>4725.0290909090909</v>
      </c>
      <c r="CG55" s="630">
        <f t="shared" si="22"/>
        <v>190182.42090909093</v>
      </c>
      <c r="CH55" s="662">
        <f>+CE$28*CG55+CF55</f>
        <v>38635.797166582808</v>
      </c>
      <c r="CI55" s="661">
        <f>+CK54</f>
        <v>522325.22727272729</v>
      </c>
      <c r="CJ55" s="630">
        <f>+CI$31</f>
        <v>12362.727272727272</v>
      </c>
      <c r="CK55" s="630">
        <f t="shared" si="24"/>
        <v>509962.5</v>
      </c>
      <c r="CL55" s="662">
        <f>+CI$28*CK55+CJ55</f>
        <v>103292.37251610699</v>
      </c>
      <c r="CM55" s="661"/>
      <c r="CN55" s="630"/>
      <c r="CO55" s="630"/>
      <c r="CP55" s="662"/>
      <c r="CQ55" s="661"/>
      <c r="CR55" s="630"/>
      <c r="CS55" s="630"/>
      <c r="CT55" s="662"/>
      <c r="CU55" s="661"/>
      <c r="CV55" s="630"/>
      <c r="CW55" s="630"/>
      <c r="CX55" s="662"/>
      <c r="CY55" s="782">
        <f t="shared" si="25"/>
        <v>33119640.255373497</v>
      </c>
      <c r="CZ55" s="756"/>
      <c r="DA55" s="778">
        <f>+CY55</f>
        <v>33119640.255373497</v>
      </c>
      <c r="DB55" s="645"/>
      <c r="DD55" s="661">
        <f>+DD30</f>
        <v>12707126</v>
      </c>
      <c r="DE55" s="630">
        <f>+DD$31/12*(12-$DD$32)</f>
        <v>1058927.1666666667</v>
      </c>
      <c r="DF55" s="630">
        <f>+DD55-DE55</f>
        <v>11648198.833333334</v>
      </c>
      <c r="DG55" s="662">
        <f>+(((DD$28*DF55)*(12-DD$32)/12))+DE55</f>
        <v>3032000.6437193095</v>
      </c>
      <c r="DH55" s="661">
        <f>+DH30</f>
        <v>8944044</v>
      </c>
      <c r="DI55" s="630">
        <f>+DH$31/12*(12-$DH$32)</f>
        <v>0</v>
      </c>
      <c r="DJ55" s="630">
        <f>+DH55-DI55</f>
        <v>8944044</v>
      </c>
      <c r="DK55" s="662">
        <f>+(((DH$28*DJ55)*(12-DH$32)/12))+DI55</f>
        <v>0</v>
      </c>
      <c r="DL55" s="661">
        <f>+DL30</f>
        <v>1404585.91</v>
      </c>
      <c r="DM55" s="630">
        <f>+DL$31/12*(12-$DL$32)</f>
        <v>11704.882583333332</v>
      </c>
      <c r="DN55" s="630">
        <f>+DL55-DM55</f>
        <v>1392881.0274166665</v>
      </c>
      <c r="DO55" s="662">
        <f>+(((DL$28*DN55)*(12-DL$32)/12))+DM55</f>
        <v>35298.715854972274</v>
      </c>
      <c r="DP55" s="661">
        <f>+DP30</f>
        <v>169603</v>
      </c>
      <c r="DQ55" s="630">
        <f>+DP$31/12*(12-$DP$32)</f>
        <v>0</v>
      </c>
      <c r="DR55" s="630">
        <f>+DP55-DQ55</f>
        <v>169603</v>
      </c>
      <c r="DS55" s="662">
        <f>+(((DP$28*DR55)*(12-DP$32)/12))+DQ55</f>
        <v>0</v>
      </c>
      <c r="DT55" s="661"/>
      <c r="DU55" s="630"/>
      <c r="DV55" s="630"/>
      <c r="DW55" s="662"/>
      <c r="DX55" s="661"/>
      <c r="DY55" s="630"/>
      <c r="DZ55" s="630"/>
      <c r="EA55" s="662"/>
      <c r="EB55" s="661"/>
      <c r="EC55" s="630"/>
      <c r="ED55" s="630"/>
      <c r="EE55" s="662"/>
      <c r="EF55" s="661"/>
      <c r="EG55" s="630"/>
      <c r="EH55" s="630"/>
      <c r="EI55" s="662"/>
      <c r="EJ55" s="661"/>
      <c r="EK55" s="630"/>
      <c r="EL55" s="630"/>
      <c r="EM55" s="662"/>
      <c r="EN55" s="661"/>
      <c r="EO55" s="630"/>
      <c r="EP55" s="630"/>
      <c r="EQ55" s="662"/>
      <c r="ER55" s="661"/>
      <c r="ES55" s="630"/>
      <c r="ET55" s="630"/>
      <c r="EU55" s="662"/>
      <c r="EV55" s="780">
        <f>+DG55+DK55+DO55+DS55+DW55+EA55+EE55+EM55+EI55+EQ55</f>
        <v>3067299.3595742816</v>
      </c>
      <c r="EW55" s="661"/>
      <c r="EX55" s="630"/>
      <c r="EY55" s="630"/>
      <c r="EZ55" s="662"/>
      <c r="FA55" s="661"/>
      <c r="FB55" s="630"/>
      <c r="FC55" s="630"/>
      <c r="FD55" s="662"/>
    </row>
    <row r="56" spans="1:161">
      <c r="A56" s="753" t="s">
        <v>23</v>
      </c>
      <c r="B56" s="774">
        <f t="shared" si="0"/>
        <v>2014</v>
      </c>
      <c r="C56" s="775">
        <f>+C55</f>
        <v>17274439.383522727</v>
      </c>
      <c r="D56" s="775">
        <f>+D55</f>
        <v>445791.98409090913</v>
      </c>
      <c r="E56" s="775">
        <f t="shared" si="6"/>
        <v>16828647.399431817</v>
      </c>
      <c r="F56" s="757">
        <f>+C$29*E56+D56</f>
        <v>3580298.3206757493</v>
      </c>
      <c r="G56" s="775">
        <f>+G55</f>
        <v>4459868.8574999981</v>
      </c>
      <c r="H56" s="775">
        <f>+H55</f>
        <v>115840.74954545456</v>
      </c>
      <c r="I56" s="775">
        <f t="shared" si="7"/>
        <v>4344028.1079545431</v>
      </c>
      <c r="J56" s="757">
        <f>+G$29*I56+H56</f>
        <v>924960.06302907399</v>
      </c>
      <c r="K56" s="776">
        <f>+K55</f>
        <v>11529595.982897725</v>
      </c>
      <c r="L56" s="775">
        <f>+L55</f>
        <v>305419.76113636367</v>
      </c>
      <c r="M56" s="775">
        <f t="shared" si="8"/>
        <v>11224176.221761361</v>
      </c>
      <c r="N56" s="757">
        <f>+K$29*M56+L56</f>
        <v>2396036.4729253179</v>
      </c>
      <c r="O56" s="776">
        <f>+O55</f>
        <v>4752766.6742424238</v>
      </c>
      <c r="P56" s="775">
        <f>+P55</f>
        <v>119316.31818181818</v>
      </c>
      <c r="Q56" s="775">
        <f t="shared" si="11"/>
        <v>4633450.3560606055</v>
      </c>
      <c r="R56" s="757">
        <f>+O$29*Q56+P56</f>
        <v>982343.46211102139</v>
      </c>
      <c r="S56" s="661">
        <f>+S55</f>
        <v>2225716.0915151504</v>
      </c>
      <c r="T56" s="630">
        <f>+T55</f>
        <v>58315.705454545445</v>
      </c>
      <c r="U56" s="630">
        <f t="shared" si="12"/>
        <v>2167400.3860606048</v>
      </c>
      <c r="V56" s="662">
        <f>+S$29*U56+T56</f>
        <v>462016.01973249338</v>
      </c>
      <c r="W56" s="661">
        <f>+W55</f>
        <v>27616195.609848484</v>
      </c>
      <c r="X56" s="630">
        <f>+X55</f>
        <v>693293.61363636365</v>
      </c>
      <c r="Y56" s="630">
        <f t="shared" si="13"/>
        <v>26922901.996212121</v>
      </c>
      <c r="Z56" s="662">
        <f>+W$29*Y56+X56</f>
        <v>5707957.2941665519</v>
      </c>
      <c r="AA56" s="661">
        <f>+AA55</f>
        <v>17995762.376893934</v>
      </c>
      <c r="AB56" s="630">
        <f>+AB55</f>
        <v>450833.29545454547</v>
      </c>
      <c r="AC56" s="630">
        <f t="shared" si="14"/>
        <v>17544929.081439387</v>
      </c>
      <c r="AD56" s="662">
        <f>+AA$29*AC56+AB56</f>
        <v>3718754.3633450153</v>
      </c>
      <c r="AE56" s="661">
        <f>+AE55</f>
        <v>181616.51136363641</v>
      </c>
      <c r="AF56" s="630">
        <f>+AF55</f>
        <v>4597.886363636364</v>
      </c>
      <c r="AG56" s="630">
        <f t="shared" si="15"/>
        <v>177018.62500000006</v>
      </c>
      <c r="AH56" s="662">
        <f>+AE$29*AG56+AF56</f>
        <v>37569.401458472188</v>
      </c>
      <c r="AI56" s="661">
        <f>+AI55</f>
        <v>12068186.799242424</v>
      </c>
      <c r="AJ56" s="630">
        <f>+AJ55</f>
        <v>295547.43181818182</v>
      </c>
      <c r="AK56" s="630">
        <f t="shared" si="19"/>
        <v>11772639.367424242</v>
      </c>
      <c r="AL56" s="662">
        <f>+AI$29*AK56+AJ56</f>
        <v>2488320.9696822725</v>
      </c>
      <c r="AM56" s="661">
        <f>+AM55</f>
        <v>4490110.0851136353</v>
      </c>
      <c r="AN56" s="630">
        <f>+AN55</f>
        <v>110866.91568181818</v>
      </c>
      <c r="AO56" s="630">
        <f t="shared" si="16"/>
        <v>4379243.1694318168</v>
      </c>
      <c r="AP56" s="662">
        <f>+AM$29*AO56+AN56</f>
        <v>926545.39168894896</v>
      </c>
      <c r="AQ56" s="661">
        <f>+AQ55</f>
        <v>36875988.668863639</v>
      </c>
      <c r="AR56" s="630">
        <f>+AR55</f>
        <v>904932.23727272719</v>
      </c>
      <c r="AS56" s="630">
        <f t="shared" si="17"/>
        <v>35971056.431590915</v>
      </c>
      <c r="AT56" s="662">
        <f>+AQ$29*AS56+AR56</f>
        <v>7604906.4920235528</v>
      </c>
      <c r="AU56" s="776">
        <f>+AU55</f>
        <v>25375000</v>
      </c>
      <c r="AV56" s="775">
        <f>+AV55</f>
        <v>750000</v>
      </c>
      <c r="AW56" s="775">
        <f t="shared" si="1"/>
        <v>24625000</v>
      </c>
      <c r="AX56" s="757">
        <f>+AU$29*AW56+AV56</f>
        <v>750000</v>
      </c>
      <c r="AY56" s="776">
        <f>+AY55</f>
        <v>16583333.333333332</v>
      </c>
      <c r="AZ56" s="775">
        <f>+AZ55</f>
        <v>500000</v>
      </c>
      <c r="BA56" s="775">
        <f t="shared" si="2"/>
        <v>16083333.333333332</v>
      </c>
      <c r="BB56" s="757">
        <f>+AY$29*BA56+AZ56</f>
        <v>500000</v>
      </c>
      <c r="BC56" s="776">
        <f>+BC55</f>
        <v>25750000</v>
      </c>
      <c r="BD56" s="775">
        <f>+BD55</f>
        <v>750000</v>
      </c>
      <c r="BE56" s="775">
        <f t="shared" si="4"/>
        <v>25000000</v>
      </c>
      <c r="BF56" s="757">
        <f>+BC$29*BE56+BD56</f>
        <v>750000</v>
      </c>
      <c r="BG56" s="776">
        <f>+BG55</f>
        <v>17095238.095238097</v>
      </c>
      <c r="BH56" s="775">
        <f>+BH55</f>
        <v>571428.57142857148</v>
      </c>
      <c r="BI56" s="775">
        <f t="shared" si="5"/>
        <v>16523809.523809526</v>
      </c>
      <c r="BJ56" s="757">
        <f>+BG$29*BI56+BH56</f>
        <v>571428.57142857148</v>
      </c>
      <c r="BK56" s="776">
        <f>+BK55</f>
        <v>24800000</v>
      </c>
      <c r="BL56" s="775">
        <f>+BL55</f>
        <v>1200000</v>
      </c>
      <c r="BM56" s="775">
        <f t="shared" si="9"/>
        <v>23600000</v>
      </c>
      <c r="BN56" s="757">
        <f>+BK$29*BM56+BL56</f>
        <v>1200000</v>
      </c>
      <c r="BO56" s="776">
        <f>+BO55</f>
        <v>17166666.66666666</v>
      </c>
      <c r="BP56" s="775">
        <f>+BP55</f>
        <v>666666.66666666663</v>
      </c>
      <c r="BQ56" s="775">
        <f t="shared" si="10"/>
        <v>16499999.999999994</v>
      </c>
      <c r="BR56" s="757">
        <f>+BO$29*BQ56+BP56</f>
        <v>666666.66666666663</v>
      </c>
      <c r="BS56" s="661">
        <f>+BS55</f>
        <v>340746.34090909094</v>
      </c>
      <c r="BT56" s="630">
        <f>+BT55</f>
        <v>8310.886363636364</v>
      </c>
      <c r="BU56" s="630">
        <f t="shared" si="18"/>
        <v>332435.45454545459</v>
      </c>
      <c r="BV56" s="662">
        <f>+BS$29*BU56+BT56</f>
        <v>70230.362958848098</v>
      </c>
      <c r="BW56" s="661">
        <f>+BW55</f>
        <v>23794700.625</v>
      </c>
      <c r="BX56" s="630">
        <f>+BX55</f>
        <v>576841.22727272729</v>
      </c>
      <c r="BY56" s="630">
        <f t="shared" si="20"/>
        <v>23217859.397727273</v>
      </c>
      <c r="BZ56" s="662">
        <f>+BW$29*BY56+BX56</f>
        <v>4716737.2359910365</v>
      </c>
      <c r="CA56" s="661">
        <f>+CA55</f>
        <v>2245399.2000000002</v>
      </c>
      <c r="CB56" s="630">
        <f>+CB55</f>
        <v>54433.919999999998</v>
      </c>
      <c r="CC56" s="630">
        <f t="shared" si="21"/>
        <v>2190965.2800000003</v>
      </c>
      <c r="CD56" s="662">
        <f>+CA$29*CC56+CB56</f>
        <v>462523.43488455628</v>
      </c>
      <c r="CE56" s="661">
        <f>+CE55</f>
        <v>194907.45</v>
      </c>
      <c r="CF56" s="630">
        <f>+CF55</f>
        <v>4725.0290909090909</v>
      </c>
      <c r="CG56" s="630">
        <f t="shared" si="22"/>
        <v>190182.42090909093</v>
      </c>
      <c r="CH56" s="662">
        <f>+CE$29*CG56+CF56</f>
        <v>40148.434745407372</v>
      </c>
      <c r="CI56" s="661">
        <f>+CI55</f>
        <v>522325.22727272729</v>
      </c>
      <c r="CJ56" s="630">
        <f>+CJ55</f>
        <v>12362.727272727272</v>
      </c>
      <c r="CK56" s="630">
        <f t="shared" si="24"/>
        <v>509962.5</v>
      </c>
      <c r="CL56" s="662">
        <f>+CI$29*CK56+CJ56</f>
        <v>103292.37251610699</v>
      </c>
      <c r="CM56" s="661"/>
      <c r="CN56" s="630"/>
      <c r="CO56" s="630"/>
      <c r="CP56" s="662"/>
      <c r="CQ56" s="661"/>
      <c r="CR56" s="630"/>
      <c r="CS56" s="630"/>
      <c r="CT56" s="662"/>
      <c r="CU56" s="661"/>
      <c r="CV56" s="630"/>
      <c r="CW56" s="630"/>
      <c r="CX56" s="662"/>
      <c r="CY56" s="782">
        <f t="shared" si="25"/>
        <v>34222640.091934435</v>
      </c>
      <c r="CZ56" s="779">
        <f>+CY56</f>
        <v>34222640.091934435</v>
      </c>
      <c r="DA56" s="752"/>
      <c r="DB56" s="800">
        <f>+CZ56-DA55</f>
        <v>1102999.8365609385</v>
      </c>
      <c r="DD56" s="661">
        <f>+DD55</f>
        <v>12707126</v>
      </c>
      <c r="DE56" s="630">
        <f>+DE55</f>
        <v>1058927.1666666667</v>
      </c>
      <c r="DF56" s="630">
        <f t="shared" ref="DF56:DF76" si="26">+DD56-DE56</f>
        <v>11648198.833333334</v>
      </c>
      <c r="DG56" s="662">
        <f>+(((DD$29*DF56)*(12-DD$32)/12))+DE56</f>
        <v>3032000.6437193095</v>
      </c>
      <c r="DH56" s="661">
        <f>+DH55</f>
        <v>8944044</v>
      </c>
      <c r="DI56" s="630">
        <f>+DI55</f>
        <v>0</v>
      </c>
      <c r="DJ56" s="630">
        <f t="shared" ref="DJ56:DJ76" si="27">+DH56-DI56</f>
        <v>8944044</v>
      </c>
      <c r="DK56" s="662">
        <f>+(((DH$29*DJ56)*(12-DH$32)/12))+DI56</f>
        <v>0</v>
      </c>
      <c r="DL56" s="661">
        <f>+DL55</f>
        <v>1404585.91</v>
      </c>
      <c r="DM56" s="630">
        <f>+DM55</f>
        <v>11704.882583333332</v>
      </c>
      <c r="DN56" s="630">
        <f t="shared" ref="DN56:DN76" si="28">+DL56-DM56</f>
        <v>1392881.0274166665</v>
      </c>
      <c r="DO56" s="662">
        <f>+(((DL$29*DN56)*(12-DL$32)/12))+DM56</f>
        <v>35298.715854972274</v>
      </c>
      <c r="DP56" s="661">
        <f>+DP55</f>
        <v>169603</v>
      </c>
      <c r="DQ56" s="630">
        <f>+DQ55</f>
        <v>0</v>
      </c>
      <c r="DR56" s="630">
        <f t="shared" ref="DR56:DR76" si="29">+DP56-DQ56</f>
        <v>169603</v>
      </c>
      <c r="DS56" s="662">
        <f>+(((DP$29*DR56)*(12-DP$32)/12))+DQ56</f>
        <v>0</v>
      </c>
      <c r="DT56" s="661"/>
      <c r="DU56" s="630"/>
      <c r="DV56" s="630"/>
      <c r="DW56" s="662"/>
      <c r="DX56" s="661"/>
      <c r="DY56" s="630"/>
      <c r="DZ56" s="630"/>
      <c r="EA56" s="662"/>
      <c r="EB56" s="661"/>
      <c r="EC56" s="630"/>
      <c r="ED56" s="630"/>
      <c r="EE56" s="662"/>
      <c r="EF56" s="661"/>
      <c r="EG56" s="630"/>
      <c r="EH56" s="630"/>
      <c r="EI56" s="662"/>
      <c r="EJ56" s="661"/>
      <c r="EK56" s="630"/>
      <c r="EL56" s="630"/>
      <c r="EM56" s="662"/>
      <c r="EN56" s="661"/>
      <c r="EO56" s="630"/>
      <c r="EP56" s="630"/>
      <c r="EQ56" s="662"/>
      <c r="ER56" s="661"/>
      <c r="ES56" s="630"/>
      <c r="ET56" s="630"/>
      <c r="EU56" s="662"/>
      <c r="EV56" s="780"/>
      <c r="EW56" s="661"/>
      <c r="EX56" s="630"/>
      <c r="EY56" s="630"/>
      <c r="EZ56" s="662"/>
      <c r="FA56" s="661"/>
      <c r="FB56" s="630"/>
      <c r="FC56" s="630"/>
      <c r="FD56" s="662"/>
    </row>
    <row r="57" spans="1:161">
      <c r="A57" s="753" t="s">
        <v>24</v>
      </c>
      <c r="B57" s="774">
        <f t="shared" si="0"/>
        <v>2015</v>
      </c>
      <c r="C57" s="775">
        <f>+E56</f>
        <v>16828647.399431817</v>
      </c>
      <c r="D57" s="775">
        <f>+C$31</f>
        <v>445791.98409090913</v>
      </c>
      <c r="E57" s="775">
        <f t="shared" si="6"/>
        <v>16382855.415340908</v>
      </c>
      <c r="F57" s="757">
        <f>+C$28*E57+D57</f>
        <v>3366962.1308968626</v>
      </c>
      <c r="G57" s="775">
        <f>+I56</f>
        <v>4344028.1079545431</v>
      </c>
      <c r="H57" s="775">
        <f>+G$31</f>
        <v>115840.74954545456</v>
      </c>
      <c r="I57" s="775">
        <f t="shared" si="7"/>
        <v>4228187.3584090881</v>
      </c>
      <c r="J57" s="757">
        <f>+G$28*I57+H57</f>
        <v>869754.17753806419</v>
      </c>
      <c r="K57" s="776">
        <f>+M56</f>
        <v>11224176.221761361</v>
      </c>
      <c r="L57" s="775">
        <f>+K$31</f>
        <v>305419.76113636367</v>
      </c>
      <c r="M57" s="775">
        <f t="shared" si="8"/>
        <v>10918756.460624997</v>
      </c>
      <c r="N57" s="757">
        <f>+K$28*M57+L57</f>
        <v>2252305.3683398175</v>
      </c>
      <c r="O57" s="776">
        <f>+Q56</f>
        <v>4633450.3560606055</v>
      </c>
      <c r="P57" s="775">
        <f>+O$31</f>
        <v>119316.31818181818</v>
      </c>
      <c r="Q57" s="775">
        <f t="shared" si="11"/>
        <v>4514134.0378787871</v>
      </c>
      <c r="R57" s="757">
        <f>+O$28*Q57+P57</f>
        <v>924215.90716215177</v>
      </c>
      <c r="S57" s="661">
        <f>+U56</f>
        <v>2167400.3860606048</v>
      </c>
      <c r="T57" s="630">
        <f>+S$31</f>
        <v>58315.705454545445</v>
      </c>
      <c r="U57" s="630">
        <f t="shared" si="12"/>
        <v>2109084.6806060593</v>
      </c>
      <c r="V57" s="662">
        <f>+S$28*U57+T57</f>
        <v>434379.28227785265</v>
      </c>
      <c r="W57" s="661">
        <f>+Y56</f>
        <v>26922901.996212121</v>
      </c>
      <c r="X57" s="630">
        <f>+W$31</f>
        <v>693293.61363636365</v>
      </c>
      <c r="Y57" s="630">
        <f t="shared" si="13"/>
        <v>26229608.382575758</v>
      </c>
      <c r="Z57" s="662">
        <f>+W$28*Y57+X57</f>
        <v>5370204.1415681085</v>
      </c>
      <c r="AA57" s="661">
        <f>+AC56</f>
        <v>17544929.081439387</v>
      </c>
      <c r="AB57" s="630">
        <f>+AA$31</f>
        <v>450833.29545454547</v>
      </c>
      <c r="AC57" s="630">
        <f t="shared" si="14"/>
        <v>17094095.78598484</v>
      </c>
      <c r="AD57" s="662">
        <f>+AA$28*AC57+AB57</f>
        <v>3498822.2467518542</v>
      </c>
      <c r="AE57" s="661">
        <f>+AG56</f>
        <v>177018.62500000006</v>
      </c>
      <c r="AF57" s="630">
        <f>+AE$31</f>
        <v>4597.886363636364</v>
      </c>
      <c r="AG57" s="630">
        <f t="shared" si="15"/>
        <v>172420.73863636371</v>
      </c>
      <c r="AH57" s="662">
        <f>+AE$28*AG57+AF57</f>
        <v>35341.630456204046</v>
      </c>
      <c r="AI57" s="661">
        <f>+AK56</f>
        <v>11772639.367424242</v>
      </c>
      <c r="AJ57" s="630">
        <f>+AI$31</f>
        <v>295547.43181818182</v>
      </c>
      <c r="AK57" s="630">
        <f t="shared" si="19"/>
        <v>11477091.935606061</v>
      </c>
      <c r="AL57" s="662">
        <f>+AI$28*AK57+AJ57</f>
        <v>2341987.9017160926</v>
      </c>
      <c r="AM57" s="661">
        <f>+AO56</f>
        <v>4379243.1694318168</v>
      </c>
      <c r="AN57" s="630">
        <f>+AM$31</f>
        <v>110866.91568181818</v>
      </c>
      <c r="AO57" s="630">
        <f t="shared" si="16"/>
        <v>4268376.2537499983</v>
      </c>
      <c r="AP57" s="662">
        <f>+AM$28*AO57+AN57</f>
        <v>871946.28626054397</v>
      </c>
      <c r="AQ57" s="661">
        <f>+AS56</f>
        <v>35971056.431590915</v>
      </c>
      <c r="AR57" s="630">
        <f>+AQ$31</f>
        <v>904932.23727272719</v>
      </c>
      <c r="AS57" s="630">
        <f t="shared" si="17"/>
        <v>35066124.19431819</v>
      </c>
      <c r="AT57" s="662">
        <f>+AQ$28*AS57+AR57</f>
        <v>7157451.2618081542</v>
      </c>
      <c r="AU57" s="776">
        <f>+AW56</f>
        <v>24625000</v>
      </c>
      <c r="AV57" s="775">
        <f>+AU$31</f>
        <v>750000</v>
      </c>
      <c r="AW57" s="775">
        <f t="shared" si="1"/>
        <v>23875000</v>
      </c>
      <c r="AX57" s="757">
        <f>+AU$28*AW57+AV57</f>
        <v>750000</v>
      </c>
      <c r="AY57" s="776">
        <f>+BA56</f>
        <v>16083333.333333332</v>
      </c>
      <c r="AZ57" s="775">
        <f>+AY$31</f>
        <v>500000</v>
      </c>
      <c r="BA57" s="775">
        <f t="shared" si="2"/>
        <v>15583333.333333332</v>
      </c>
      <c r="BB57" s="757">
        <f>+AY$28*BA57+AZ57</f>
        <v>500000</v>
      </c>
      <c r="BC57" s="776">
        <f>+BE56</f>
        <v>25000000</v>
      </c>
      <c r="BD57" s="775">
        <f>+BC$31</f>
        <v>750000</v>
      </c>
      <c r="BE57" s="775">
        <f t="shared" si="4"/>
        <v>24250000</v>
      </c>
      <c r="BF57" s="757">
        <f>+BC$28*BE57+BD57</f>
        <v>750000</v>
      </c>
      <c r="BG57" s="776">
        <f>+BI56</f>
        <v>16523809.523809526</v>
      </c>
      <c r="BH57" s="775">
        <f>+BG$31</f>
        <v>571428.57142857148</v>
      </c>
      <c r="BI57" s="775">
        <f t="shared" si="5"/>
        <v>15952380.952380955</v>
      </c>
      <c r="BJ57" s="757">
        <f>+BG$28*BI57+BH57</f>
        <v>571428.57142857148</v>
      </c>
      <c r="BK57" s="776">
        <f>+BM56</f>
        <v>23600000</v>
      </c>
      <c r="BL57" s="775">
        <f>+BK$31</f>
        <v>1200000</v>
      </c>
      <c r="BM57" s="775">
        <f t="shared" si="9"/>
        <v>22400000</v>
      </c>
      <c r="BN57" s="757">
        <f>+BK$28*BM57+BL57</f>
        <v>1200000</v>
      </c>
      <c r="BO57" s="776">
        <f>+BQ56</f>
        <v>16499999.999999994</v>
      </c>
      <c r="BP57" s="775">
        <f>+BO$31</f>
        <v>666666.66666666663</v>
      </c>
      <c r="BQ57" s="775">
        <f t="shared" si="10"/>
        <v>15833333.333333328</v>
      </c>
      <c r="BR57" s="757">
        <f>+BO$28*BQ57+BP57</f>
        <v>666666.66666666663</v>
      </c>
      <c r="BS57" s="661">
        <f>+BU56</f>
        <v>332435.45454545459</v>
      </c>
      <c r="BT57" s="630">
        <f>+BS$31</f>
        <v>8310.886363636364</v>
      </c>
      <c r="BU57" s="630">
        <f t="shared" si="18"/>
        <v>324124.56818181823</v>
      </c>
      <c r="BV57" s="662">
        <f>+BS$28*BU57+BT57</f>
        <v>66104.414318018054</v>
      </c>
      <c r="BW57" s="661">
        <f>+BY56</f>
        <v>23217859.397727273</v>
      </c>
      <c r="BX57" s="630">
        <f>+BW$31</f>
        <v>576841.22727272729</v>
      </c>
      <c r="BY57" s="630">
        <f t="shared" si="20"/>
        <v>22641018.170454547</v>
      </c>
      <c r="BZ57" s="662">
        <f>+BW$28*BY57+BX57</f>
        <v>4613882.6767682219</v>
      </c>
      <c r="CA57" s="661">
        <f>+CC56</f>
        <v>2190965.2800000003</v>
      </c>
      <c r="CB57" s="630">
        <f>+CA$31</f>
        <v>54433.919999999998</v>
      </c>
      <c r="CC57" s="630">
        <f t="shared" si="21"/>
        <v>2136531.3600000003</v>
      </c>
      <c r="CD57" s="662">
        <f>+CA$28*CC57+CB57</f>
        <v>435391.41906347155</v>
      </c>
      <c r="CE57" s="661">
        <f>+CG56</f>
        <v>190182.42090909093</v>
      </c>
      <c r="CF57" s="630">
        <f>+CE$31</f>
        <v>4725.0290909090909</v>
      </c>
      <c r="CG57" s="630">
        <f t="shared" si="22"/>
        <v>185457.39181818184</v>
      </c>
      <c r="CH57" s="662">
        <f>+CE$28*CG57+CF57</f>
        <v>37793.293611907691</v>
      </c>
      <c r="CI57" s="661">
        <f>+CK56</f>
        <v>509962.5</v>
      </c>
      <c r="CJ57" s="630">
        <f>+CI$31</f>
        <v>12362.727272727272</v>
      </c>
      <c r="CK57" s="630">
        <f t="shared" si="24"/>
        <v>497599.77272727271</v>
      </c>
      <c r="CL57" s="662">
        <f>+CI$28*CK57+CJ57</f>
        <v>101088.01747990385</v>
      </c>
      <c r="CM57" s="661"/>
      <c r="CN57" s="630"/>
      <c r="CO57" s="630"/>
      <c r="CP57" s="662"/>
      <c r="CQ57" s="661"/>
      <c r="CR57" s="630"/>
      <c r="CS57" s="630"/>
      <c r="CT57" s="662"/>
      <c r="CU57" s="661"/>
      <c r="CV57" s="630"/>
      <c r="CW57" s="630"/>
      <c r="CX57" s="662"/>
      <c r="CY57" s="782">
        <f t="shared" si="25"/>
        <v>32377630.156017225</v>
      </c>
      <c r="CZ57" s="756"/>
      <c r="DA57" s="778">
        <f>+CY57</f>
        <v>32377630.156017225</v>
      </c>
      <c r="DB57" s="645"/>
      <c r="DD57" s="661">
        <f>+DF56</f>
        <v>11648198.833333334</v>
      </c>
      <c r="DE57" s="630">
        <f>+DD$31</f>
        <v>1270712.6000000001</v>
      </c>
      <c r="DF57" s="630">
        <f t="shared" si="26"/>
        <v>10377486.233333334</v>
      </c>
      <c r="DG57" s="662">
        <f>+DD$28*DF57+DE57</f>
        <v>3380107.5172853707</v>
      </c>
      <c r="DH57" s="661">
        <f>+DJ56</f>
        <v>8944044</v>
      </c>
      <c r="DI57" s="630">
        <f>+DH$31</f>
        <v>894404.4</v>
      </c>
      <c r="DJ57" s="630">
        <f t="shared" si="27"/>
        <v>8049639.5999999996</v>
      </c>
      <c r="DK57" s="662">
        <f>+DH$28*DJ57+DI57</f>
        <v>2530626.1666623652</v>
      </c>
      <c r="DL57" s="661">
        <f>+DN56</f>
        <v>1392881.0274166665</v>
      </c>
      <c r="DM57" s="630">
        <f>+DL$31</f>
        <v>140458.59099999999</v>
      </c>
      <c r="DN57" s="630">
        <f t="shared" si="28"/>
        <v>1252422.4364166665</v>
      </c>
      <c r="DO57" s="662">
        <f>+DL$28*DN57+DM57</f>
        <v>395034.06932591932</v>
      </c>
      <c r="DP57" s="661">
        <f>+DR56</f>
        <v>169603</v>
      </c>
      <c r="DQ57" s="630">
        <f>+DP$31</f>
        <v>16960.3</v>
      </c>
      <c r="DR57" s="630">
        <f t="shared" si="29"/>
        <v>152642.70000000001</v>
      </c>
      <c r="DS57" s="662">
        <f>+DP$28*DR57+DQ57</f>
        <v>47987.44167005855</v>
      </c>
      <c r="DT57" s="661">
        <f>+DT30</f>
        <v>12537.86</v>
      </c>
      <c r="DU57" s="630">
        <f>+DT$31/12*(12-$DT$32)</f>
        <v>1044.8216666666667</v>
      </c>
      <c r="DV57" s="630">
        <f>+DT57-DU57</f>
        <v>11493.038333333334</v>
      </c>
      <c r="DW57" s="662">
        <f>+(((DT$28*DV57)*(12-DT$32)/12))+DU57</f>
        <v>2991.612705411324</v>
      </c>
      <c r="DX57" s="661">
        <f>+DX30</f>
        <v>40332599.799999997</v>
      </c>
      <c r="DY57" s="630">
        <f>+DX$31/12*(12-$DX$32)</f>
        <v>3024944.9849999994</v>
      </c>
      <c r="DZ57" s="630">
        <f t="shared" ref="DZ57:DZ74" si="30">+DX57-DY57</f>
        <v>37307654.814999998</v>
      </c>
      <c r="EA57" s="662">
        <f>+(((DX$28*DZ57)*(12-DX$32)/12))+DY57</f>
        <v>8712491.2514902093</v>
      </c>
      <c r="EB57" s="661">
        <f>+EB30</f>
        <v>530533.42000000004</v>
      </c>
      <c r="EC57" s="630">
        <f>+EB$31/12*(12-$EB$32)</f>
        <v>22105.559166666666</v>
      </c>
      <c r="ED57" s="630">
        <f t="shared" ref="ED57:ED74" si="31">+EB57-EC57</f>
        <v>508427.8608333334</v>
      </c>
      <c r="EE57" s="662">
        <f>+(((EB$28*ED57)*(12-EB$32)/12))+EC57</f>
        <v>65166.531148623682</v>
      </c>
      <c r="EF57" s="661">
        <f>+EF30</f>
        <v>-539066.93999999971</v>
      </c>
      <c r="EG57" s="630">
        <f>+EF$31/12*(12-$EF$32)</f>
        <v>-22461.122499999987</v>
      </c>
      <c r="EH57" s="630">
        <f t="shared" ref="EH57:EH76" si="32">+EF57-EG57</f>
        <v>-516605.81749999971</v>
      </c>
      <c r="EI57" s="662">
        <f>+(((EF$28*EH57)*(12-EF$32)/12))+EG57</f>
        <v>-66214.721283162959</v>
      </c>
      <c r="EJ57" s="661">
        <f>+EJ30</f>
        <v>33275227.509999998</v>
      </c>
      <c r="EK57" s="630">
        <f>+EJ$31/12*(12-$EJ$32)</f>
        <v>554587.12516666658</v>
      </c>
      <c r="EL57" s="630">
        <f t="shared" ref="EL57:EL76" si="33">+EJ57-EK57</f>
        <v>32720640.384833332</v>
      </c>
      <c r="EM57" s="662">
        <f>+(((EJ$28*EL57)*(12-EJ$32)/12))+EK57</f>
        <v>1663088.5959819136</v>
      </c>
      <c r="EN57" s="661">
        <f>+EN30</f>
        <v>497855.79</v>
      </c>
      <c r="EO57" s="630">
        <f>+EN$31/12*(12-$EN$32)</f>
        <v>4148.7982499999998</v>
      </c>
      <c r="EP57" s="630">
        <f>+EN57-EO57</f>
        <v>493706.99174999999</v>
      </c>
      <c r="EQ57" s="662">
        <f>+(((EN$28*EP57)*(12-EN$32)/12))+EO57</f>
        <v>12511.637730982755</v>
      </c>
      <c r="ER57" s="661"/>
      <c r="ES57" s="630"/>
      <c r="ET57" s="630"/>
      <c r="EU57" s="662"/>
      <c r="EV57" s="780">
        <f>+DG57+DK57+DO57+DS57+DW57+EA57+EE57+EM57+EI57+EQ57</f>
        <v>16743790.10271769</v>
      </c>
      <c r="EW57" s="661"/>
      <c r="EX57" s="630"/>
      <c r="EY57" s="630"/>
      <c r="EZ57" s="662"/>
      <c r="FA57" s="661"/>
      <c r="FB57" s="630"/>
      <c r="FC57" s="630"/>
      <c r="FD57" s="662"/>
    </row>
    <row r="58" spans="1:161">
      <c r="A58" s="753" t="s">
        <v>23</v>
      </c>
      <c r="B58" s="774">
        <f t="shared" si="0"/>
        <v>2015</v>
      </c>
      <c r="C58" s="775">
        <f>+C57</f>
        <v>16828647.399431817</v>
      </c>
      <c r="D58" s="775">
        <f>+D57</f>
        <v>445791.98409090913</v>
      </c>
      <c r="E58" s="775">
        <f t="shared" si="6"/>
        <v>16382855.415340908</v>
      </c>
      <c r="F58" s="757">
        <f>+C$29*E58+D58</f>
        <v>3497265.0402364163</v>
      </c>
      <c r="G58" s="775">
        <f>+G57</f>
        <v>4344028.1079545431</v>
      </c>
      <c r="H58" s="775">
        <f>+H57</f>
        <v>115840.74954545456</v>
      </c>
      <c r="I58" s="775">
        <f t="shared" si="7"/>
        <v>4228187.3584090881</v>
      </c>
      <c r="J58" s="757">
        <f>+G$29*I58+H58</f>
        <v>903383.54800284409</v>
      </c>
      <c r="K58" s="776">
        <f>+K57</f>
        <v>11224176.221761361</v>
      </c>
      <c r="L58" s="775">
        <f>+L57</f>
        <v>305419.76113636367</v>
      </c>
      <c r="M58" s="775">
        <f t="shared" si="8"/>
        <v>10918756.460624997</v>
      </c>
      <c r="N58" s="757">
        <f>+K$29*M58+L58</f>
        <v>2339148.9433528292</v>
      </c>
      <c r="O58" s="776">
        <f>+O57</f>
        <v>4633450.3560606055</v>
      </c>
      <c r="P58" s="775">
        <f>+P57</f>
        <v>119316.31818181818</v>
      </c>
      <c r="Q58" s="775">
        <f t="shared" si="11"/>
        <v>4514134.0378787871</v>
      </c>
      <c r="R58" s="757">
        <f>+O$29*Q58+P58</f>
        <v>960119.58716005459</v>
      </c>
      <c r="S58" s="661">
        <f>+S57</f>
        <v>2167400.3860606048</v>
      </c>
      <c r="T58" s="630">
        <f>+T57</f>
        <v>58315.705454545445</v>
      </c>
      <c r="U58" s="630">
        <f t="shared" si="12"/>
        <v>2109084.6806060593</v>
      </c>
      <c r="V58" s="662">
        <f>+S$29*U58+T58</f>
        <v>451154.1278685127</v>
      </c>
      <c r="W58" s="661">
        <f>+W57</f>
        <v>26922901.996212121</v>
      </c>
      <c r="X58" s="630">
        <f>+X57</f>
        <v>693293.61363636365</v>
      </c>
      <c r="Y58" s="630">
        <f t="shared" si="13"/>
        <v>26229608.382575758</v>
      </c>
      <c r="Z58" s="662">
        <f>+W$29*Y58+X58</f>
        <v>5578824.3238524701</v>
      </c>
      <c r="AA58" s="661">
        <f>+AA57</f>
        <v>17544929.081439387</v>
      </c>
      <c r="AB58" s="630">
        <f>+AB57</f>
        <v>450833.29545454547</v>
      </c>
      <c r="AC58" s="630">
        <f t="shared" si="14"/>
        <v>17094095.78598484</v>
      </c>
      <c r="AD58" s="662">
        <f>+AA$29*AC58+AB58</f>
        <v>3634782.0875105704</v>
      </c>
      <c r="AE58" s="661">
        <f>+AE57</f>
        <v>177018.62500000006</v>
      </c>
      <c r="AF58" s="630">
        <f>+AF57</f>
        <v>4597.886363636364</v>
      </c>
      <c r="AG58" s="630">
        <f t="shared" si="15"/>
        <v>172420.73863636371</v>
      </c>
      <c r="AH58" s="662">
        <f>+AE$29*AG58+AF58</f>
        <v>36712.998468995938</v>
      </c>
      <c r="AI58" s="661">
        <f>+AI57</f>
        <v>11772639.367424242</v>
      </c>
      <c r="AJ58" s="630">
        <f>+AJ57</f>
        <v>295547.43181818182</v>
      </c>
      <c r="AK58" s="630">
        <f t="shared" si="19"/>
        <v>11477091.935606061</v>
      </c>
      <c r="AL58" s="662">
        <f>+AI$29*AK58+AJ58</f>
        <v>2433272.261618739</v>
      </c>
      <c r="AM58" s="661">
        <f>+AM57</f>
        <v>4379243.1694318168</v>
      </c>
      <c r="AN58" s="630">
        <f>+AN57</f>
        <v>110866.91568181818</v>
      </c>
      <c r="AO58" s="630">
        <f t="shared" si="16"/>
        <v>4268376.2537499983</v>
      </c>
      <c r="AP58" s="662">
        <f>+AM$29*AO58+AN58</f>
        <v>905895.30368876841</v>
      </c>
      <c r="AQ58" s="661">
        <f>+AQ57</f>
        <v>35971056.431590915</v>
      </c>
      <c r="AR58" s="630">
        <f>+AR57</f>
        <v>904932.23727272719</v>
      </c>
      <c r="AS58" s="630">
        <f t="shared" si="17"/>
        <v>35066124.19431819</v>
      </c>
      <c r="AT58" s="662">
        <f>+AQ$29*AS58+AR58</f>
        <v>7436353.6805832805</v>
      </c>
      <c r="AU58" s="776">
        <f>+AU57</f>
        <v>24625000</v>
      </c>
      <c r="AV58" s="775">
        <f>+AV57</f>
        <v>750000</v>
      </c>
      <c r="AW58" s="775">
        <f t="shared" si="1"/>
        <v>23875000</v>
      </c>
      <c r="AX58" s="757">
        <f>+AU$29*AW58+AV58</f>
        <v>750000</v>
      </c>
      <c r="AY58" s="776">
        <f>+AY57</f>
        <v>16083333.333333332</v>
      </c>
      <c r="AZ58" s="775">
        <f>+AZ57</f>
        <v>500000</v>
      </c>
      <c r="BA58" s="775">
        <f t="shared" si="2"/>
        <v>15583333.333333332</v>
      </c>
      <c r="BB58" s="757">
        <f>+AY$29*BA58+AZ58</f>
        <v>500000</v>
      </c>
      <c r="BC58" s="776">
        <f>+BC57</f>
        <v>25000000</v>
      </c>
      <c r="BD58" s="775">
        <f>+BD57</f>
        <v>750000</v>
      </c>
      <c r="BE58" s="775">
        <f t="shared" si="4"/>
        <v>24250000</v>
      </c>
      <c r="BF58" s="757">
        <f>+BC$29*BE58+BD58</f>
        <v>750000</v>
      </c>
      <c r="BG58" s="776">
        <f>+BG57</f>
        <v>16523809.523809526</v>
      </c>
      <c r="BH58" s="775">
        <f>+BH57</f>
        <v>571428.57142857148</v>
      </c>
      <c r="BI58" s="775">
        <f t="shared" si="5"/>
        <v>15952380.952380955</v>
      </c>
      <c r="BJ58" s="757">
        <f>+BG$29*BI58+BH58</f>
        <v>571428.57142857148</v>
      </c>
      <c r="BK58" s="776">
        <f>+BK57</f>
        <v>23600000</v>
      </c>
      <c r="BL58" s="775">
        <f>+BL57</f>
        <v>1200000</v>
      </c>
      <c r="BM58" s="775">
        <f t="shared" si="9"/>
        <v>22400000</v>
      </c>
      <c r="BN58" s="757">
        <f>+BK$29*BM58+BL58</f>
        <v>1200000</v>
      </c>
      <c r="BO58" s="776">
        <f>+BO57</f>
        <v>16499999.999999994</v>
      </c>
      <c r="BP58" s="775">
        <f>+BP57</f>
        <v>666666.66666666663</v>
      </c>
      <c r="BQ58" s="775">
        <f t="shared" si="10"/>
        <v>15833333.333333328</v>
      </c>
      <c r="BR58" s="757">
        <f>+BO$29*BQ58+BP58</f>
        <v>666666.66666666663</v>
      </c>
      <c r="BS58" s="661">
        <f>+BS57</f>
        <v>332435.45454545459</v>
      </c>
      <c r="BT58" s="630">
        <f>+BT57</f>
        <v>8310.886363636364</v>
      </c>
      <c r="BU58" s="630">
        <f t="shared" si="18"/>
        <v>324124.56818181823</v>
      </c>
      <c r="BV58" s="662">
        <f>+BS$29*BU58+BT58</f>
        <v>68682.376043967801</v>
      </c>
      <c r="BW58" s="661">
        <f>+BW57</f>
        <v>23217859.397727273</v>
      </c>
      <c r="BX58" s="630">
        <f>+BX57</f>
        <v>576841.22727272729</v>
      </c>
      <c r="BY58" s="630">
        <f t="shared" si="20"/>
        <v>22641018.170454547</v>
      </c>
      <c r="BZ58" s="662">
        <f>+BW$29*BY58+BX58</f>
        <v>4613882.6767682219</v>
      </c>
      <c r="CA58" s="661">
        <f>+CA57</f>
        <v>2190965.2800000003</v>
      </c>
      <c r="CB58" s="630">
        <f>+CB57</f>
        <v>54433.919999999998</v>
      </c>
      <c r="CC58" s="630">
        <f t="shared" si="21"/>
        <v>2136531.3600000003</v>
      </c>
      <c r="CD58" s="662">
        <f>+CA$29*CC58+CB58</f>
        <v>452384.56494953629</v>
      </c>
      <c r="CE58" s="661">
        <f>+CE57</f>
        <v>190182.42090909093</v>
      </c>
      <c r="CF58" s="630">
        <f>+CF57</f>
        <v>4725.0290909090909</v>
      </c>
      <c r="CG58" s="630">
        <f t="shared" si="22"/>
        <v>185457.39181818184</v>
      </c>
      <c r="CH58" s="662">
        <f>+CE$29*CG58+CF58</f>
        <v>39268.350132873253</v>
      </c>
      <c r="CI58" s="661">
        <f>+CI57</f>
        <v>509962.5</v>
      </c>
      <c r="CJ58" s="630">
        <f>+CJ57</f>
        <v>12362.727272727272</v>
      </c>
      <c r="CK58" s="630">
        <f t="shared" si="24"/>
        <v>497599.77272727271</v>
      </c>
      <c r="CL58" s="662">
        <f>+CI$29*CK58+CJ58</f>
        <v>101088.01747990385</v>
      </c>
      <c r="CM58" s="661"/>
      <c r="CN58" s="630"/>
      <c r="CO58" s="630"/>
      <c r="CP58" s="662"/>
      <c r="CQ58" s="661"/>
      <c r="CR58" s="630"/>
      <c r="CS58" s="630"/>
      <c r="CT58" s="662"/>
      <c r="CU58" s="661"/>
      <c r="CV58" s="630"/>
      <c r="CW58" s="630"/>
      <c r="CX58" s="662"/>
      <c r="CY58" s="782">
        <f t="shared" si="25"/>
        <v>33452217.887717981</v>
      </c>
      <c r="CZ58" s="779">
        <f>+CY58</f>
        <v>33452217.887717981</v>
      </c>
      <c r="DA58" s="752"/>
      <c r="DB58" s="800">
        <f>+CZ58-DA57</f>
        <v>1074587.7317007557</v>
      </c>
      <c r="DD58" s="661">
        <f>+DD57</f>
        <v>11648198.833333334</v>
      </c>
      <c r="DE58" s="630">
        <f>+DE57</f>
        <v>1270712.6000000001</v>
      </c>
      <c r="DF58" s="630">
        <f t="shared" si="26"/>
        <v>10377486.233333334</v>
      </c>
      <c r="DG58" s="662">
        <f>+DD$29*DF58+DE58</f>
        <v>3380107.5172853707</v>
      </c>
      <c r="DH58" s="661">
        <f>+DH57</f>
        <v>8944044</v>
      </c>
      <c r="DI58" s="630">
        <f>+DI57</f>
        <v>894404.4</v>
      </c>
      <c r="DJ58" s="630">
        <f t="shared" si="27"/>
        <v>8049639.5999999996</v>
      </c>
      <c r="DK58" s="662">
        <f>+DH$29*DJ58+DI58</f>
        <v>2530626.1666623652</v>
      </c>
      <c r="DL58" s="661">
        <f>+DL57</f>
        <v>1392881.0274166665</v>
      </c>
      <c r="DM58" s="630">
        <f>+DM57</f>
        <v>140458.59099999999</v>
      </c>
      <c r="DN58" s="630">
        <f t="shared" si="28"/>
        <v>1252422.4364166665</v>
      </c>
      <c r="DO58" s="662">
        <f>+DL$29*DN58+DM58</f>
        <v>395034.06932591932</v>
      </c>
      <c r="DP58" s="661">
        <f>+DP57</f>
        <v>169603</v>
      </c>
      <c r="DQ58" s="630">
        <f>+DQ57</f>
        <v>16960.3</v>
      </c>
      <c r="DR58" s="630">
        <f t="shared" si="29"/>
        <v>152642.70000000001</v>
      </c>
      <c r="DS58" s="662">
        <f>+DP$29*DR58+DQ58</f>
        <v>47987.44167005855</v>
      </c>
      <c r="DT58" s="661">
        <f>+DT57</f>
        <v>12537.86</v>
      </c>
      <c r="DU58" s="630">
        <f>+DU57</f>
        <v>1044.8216666666667</v>
      </c>
      <c r="DV58" s="630">
        <f t="shared" ref="DV58:DV74" si="34">+DT58-DU58</f>
        <v>11493.038333333334</v>
      </c>
      <c r="DW58" s="662">
        <f>+(((DT$29*DV58)*(12-DT$32)/12))+DU58</f>
        <v>2991.612705411324</v>
      </c>
      <c r="DX58" s="661">
        <f>+DX57</f>
        <v>40332599.799999997</v>
      </c>
      <c r="DY58" s="630">
        <f>+DY57</f>
        <v>3024944.9849999994</v>
      </c>
      <c r="DZ58" s="630">
        <f t="shared" si="30"/>
        <v>37307654.814999998</v>
      </c>
      <c r="EA58" s="662">
        <f>+(((DX$29*DZ58)*(12-DX$32)/12))+DY58</f>
        <v>8712491.2514902093</v>
      </c>
      <c r="EB58" s="661">
        <f>+EB57</f>
        <v>530533.42000000004</v>
      </c>
      <c r="EC58" s="630">
        <f>+EC57</f>
        <v>22105.559166666666</v>
      </c>
      <c r="ED58" s="630">
        <f t="shared" si="31"/>
        <v>508427.8608333334</v>
      </c>
      <c r="EE58" s="662">
        <f>+(((EB$29*ED58)*(12-EB$32)/12))+EC58</f>
        <v>65166.531148623682</v>
      </c>
      <c r="EF58" s="661">
        <f>+EF57</f>
        <v>-539066.93999999971</v>
      </c>
      <c r="EG58" s="630">
        <f>+EG57</f>
        <v>-22461.122499999987</v>
      </c>
      <c r="EH58" s="630">
        <f t="shared" si="32"/>
        <v>-516605.81749999971</v>
      </c>
      <c r="EI58" s="662">
        <f>+(((EF$29*EH58)*(12-EF$32)/12))+EG58</f>
        <v>-66214.721283162959</v>
      </c>
      <c r="EJ58" s="661">
        <f>+EJ57</f>
        <v>33275227.509999998</v>
      </c>
      <c r="EK58" s="630">
        <f>+EK57</f>
        <v>554587.12516666658</v>
      </c>
      <c r="EL58" s="630">
        <f t="shared" si="33"/>
        <v>32720640.384833332</v>
      </c>
      <c r="EM58" s="662">
        <f>+(((EJ$29*EL58)*(12-EJ$32)/12))+EK58</f>
        <v>1663088.5959819136</v>
      </c>
      <c r="EN58" s="661">
        <f>+EN57</f>
        <v>497855.79</v>
      </c>
      <c r="EO58" s="630">
        <f>+EO57</f>
        <v>4148.7982499999998</v>
      </c>
      <c r="EP58" s="630">
        <f>+EN58-EO58</f>
        <v>493706.99174999999</v>
      </c>
      <c r="EQ58" s="662">
        <f>+(((EN$29*EP58)*(12-EN$32)/12))+EO58</f>
        <v>12511.637730982755</v>
      </c>
      <c r="ER58" s="661"/>
      <c r="ES58" s="630"/>
      <c r="ET58" s="630"/>
      <c r="EU58" s="662"/>
      <c r="EV58" s="780"/>
      <c r="EW58" s="661"/>
      <c r="EX58" s="630"/>
      <c r="EY58" s="630"/>
      <c r="EZ58" s="662"/>
      <c r="FA58" s="661"/>
      <c r="FB58" s="630"/>
      <c r="FC58" s="630"/>
      <c r="FD58" s="662"/>
    </row>
    <row r="59" spans="1:161">
      <c r="A59" s="753" t="s">
        <v>24</v>
      </c>
      <c r="B59" s="774">
        <f t="shared" si="0"/>
        <v>2016</v>
      </c>
      <c r="C59" s="775">
        <f>+E58</f>
        <v>16382855.415340908</v>
      </c>
      <c r="D59" s="775">
        <f>+C$31</f>
        <v>445791.98409090913</v>
      </c>
      <c r="E59" s="775">
        <f t="shared" si="6"/>
        <v>15937063.431249999</v>
      </c>
      <c r="F59" s="757">
        <f>+C$28*E59+D59</f>
        <v>3287474.5078545241</v>
      </c>
      <c r="G59" s="775">
        <f>+I58</f>
        <v>4228187.3584090881</v>
      </c>
      <c r="H59" s="775">
        <f>+G$31</f>
        <v>115840.74954545456</v>
      </c>
      <c r="I59" s="775">
        <f t="shared" si="7"/>
        <v>4112346.6088636336</v>
      </c>
      <c r="J59" s="757">
        <f>+G$28*I59+H59</f>
        <v>849099.01512730774</v>
      </c>
      <c r="K59" s="776">
        <f>+M58</f>
        <v>10918756.460624997</v>
      </c>
      <c r="L59" s="775">
        <f>+K$31</f>
        <v>305419.76113636367</v>
      </c>
      <c r="M59" s="775">
        <f t="shared" si="8"/>
        <v>10613336.699488632</v>
      </c>
      <c r="N59" s="757">
        <f>+K$28*M59+L59</f>
        <v>2197847.0296767834</v>
      </c>
      <c r="O59" s="776">
        <f>+Q58</f>
        <v>4514134.0378787871</v>
      </c>
      <c r="P59" s="775">
        <f>+O$31</f>
        <v>119316.31818181818</v>
      </c>
      <c r="Q59" s="775">
        <f t="shared" si="11"/>
        <v>4394817.7196969688</v>
      </c>
      <c r="R59" s="757">
        <f>+O$28*Q59+P59</f>
        <v>902941.0281582661</v>
      </c>
      <c r="S59" s="661">
        <f>+U58</f>
        <v>2109084.6806060593</v>
      </c>
      <c r="T59" s="630">
        <f>+S$31</f>
        <v>58315.705454545445</v>
      </c>
      <c r="U59" s="630">
        <f t="shared" si="12"/>
        <v>2050768.9751515137</v>
      </c>
      <c r="V59" s="662">
        <f>+S$28*U59+T59</f>
        <v>423981.2110292819</v>
      </c>
      <c r="W59" s="661">
        <f>+Y58</f>
        <v>26229608.382575758</v>
      </c>
      <c r="X59" s="630">
        <f>+W$31</f>
        <v>693293.61363636365</v>
      </c>
      <c r="Y59" s="630">
        <f t="shared" si="13"/>
        <v>25536314.768939395</v>
      </c>
      <c r="Z59" s="662">
        <f>+W$28*Y59+X59</f>
        <v>5246585.3610941414</v>
      </c>
      <c r="AA59" s="661">
        <f>+AC58</f>
        <v>17094095.78598484</v>
      </c>
      <c r="AB59" s="630">
        <f>+AA$31</f>
        <v>450833.29545454547</v>
      </c>
      <c r="AC59" s="630">
        <f t="shared" si="14"/>
        <v>16643262.490530295</v>
      </c>
      <c r="AD59" s="662">
        <f>+AA$28*AC59+AB59</f>
        <v>3418435.7249593977</v>
      </c>
      <c r="AE59" s="661">
        <f>+AG58</f>
        <v>172420.73863636371</v>
      </c>
      <c r="AF59" s="630">
        <f>+AE$31</f>
        <v>4597.886363636364</v>
      </c>
      <c r="AG59" s="630">
        <f t="shared" si="15"/>
        <v>167822.85227272735</v>
      </c>
      <c r="AH59" s="662">
        <f>+AE$28*AG59+AF59</f>
        <v>34521.797280402243</v>
      </c>
      <c r="AI59" s="661">
        <f>+AK58</f>
        <v>11477091.935606061</v>
      </c>
      <c r="AJ59" s="630">
        <f>+AI$31</f>
        <v>295547.43181818182</v>
      </c>
      <c r="AK59" s="630">
        <f t="shared" si="19"/>
        <v>11181544.503787879</v>
      </c>
      <c r="AL59" s="662">
        <f>+AI$28*AK59+AJ59</f>
        <v>2289289.8638646444</v>
      </c>
      <c r="AM59" s="661">
        <f>+AO58</f>
        <v>4268376.2537499983</v>
      </c>
      <c r="AN59" s="630">
        <f>+AM$31</f>
        <v>110866.91568181818</v>
      </c>
      <c r="AO59" s="630">
        <f t="shared" si="16"/>
        <v>4157509.3380681803</v>
      </c>
      <c r="AP59" s="662">
        <f>+AM$28*AO59+AN59</f>
        <v>852177.9909208368</v>
      </c>
      <c r="AQ59" s="661">
        <f>+AS58</f>
        <v>35066124.19431819</v>
      </c>
      <c r="AR59" s="630">
        <f>+AQ$31</f>
        <v>904932.23727272719</v>
      </c>
      <c r="AS59" s="630">
        <f t="shared" si="17"/>
        <v>34161191.957045466</v>
      </c>
      <c r="AT59" s="662">
        <f>+AQ$28*AS59+AR59</f>
        <v>6996095.9321427243</v>
      </c>
      <c r="AU59" s="776">
        <f>+AW58</f>
        <v>23875000</v>
      </c>
      <c r="AV59" s="775">
        <f>+AU$31</f>
        <v>750000</v>
      </c>
      <c r="AW59" s="775">
        <f t="shared" si="1"/>
        <v>23125000</v>
      </c>
      <c r="AX59" s="757">
        <f>+AU$28*AW59+AV59</f>
        <v>750000</v>
      </c>
      <c r="AY59" s="776">
        <f>+BA58</f>
        <v>15583333.333333332</v>
      </c>
      <c r="AZ59" s="775">
        <f>+AY$31</f>
        <v>500000</v>
      </c>
      <c r="BA59" s="775">
        <f t="shared" si="2"/>
        <v>15083333.333333332</v>
      </c>
      <c r="BB59" s="757">
        <f>+AY$28*BA59+AZ59</f>
        <v>500000</v>
      </c>
      <c r="BC59" s="776">
        <f>+BE58</f>
        <v>24250000</v>
      </c>
      <c r="BD59" s="775">
        <f>+BC$31</f>
        <v>750000</v>
      </c>
      <c r="BE59" s="775">
        <f t="shared" si="4"/>
        <v>23500000</v>
      </c>
      <c r="BF59" s="757">
        <f>+BC$28*BE59+BD59</f>
        <v>750000</v>
      </c>
      <c r="BG59" s="776">
        <f>+BI58</f>
        <v>15952380.952380955</v>
      </c>
      <c r="BH59" s="775">
        <f>+BG$31</f>
        <v>571428.57142857148</v>
      </c>
      <c r="BI59" s="775">
        <f t="shared" si="5"/>
        <v>15380952.380952384</v>
      </c>
      <c r="BJ59" s="757">
        <f>+BG$28*BI59+BH59</f>
        <v>571428.57142857148</v>
      </c>
      <c r="BK59" s="776">
        <f>+BM58</f>
        <v>22400000</v>
      </c>
      <c r="BL59" s="775">
        <f>+BK$31</f>
        <v>1200000</v>
      </c>
      <c r="BM59" s="775">
        <f t="shared" si="9"/>
        <v>21200000</v>
      </c>
      <c r="BN59" s="757">
        <f>+BK$28*BM59+BL59</f>
        <v>1200000</v>
      </c>
      <c r="BO59" s="776">
        <f>+BQ58</f>
        <v>15833333.333333328</v>
      </c>
      <c r="BP59" s="775">
        <f>+BO$31</f>
        <v>666666.66666666663</v>
      </c>
      <c r="BQ59" s="775">
        <f t="shared" si="10"/>
        <v>15166666.666666662</v>
      </c>
      <c r="BR59" s="757">
        <f>+BO$28*BQ59+BP59</f>
        <v>666666.66666666663</v>
      </c>
      <c r="BS59" s="661">
        <f>+BU58</f>
        <v>324124.56818181823</v>
      </c>
      <c r="BT59" s="630">
        <f>+BS$31</f>
        <v>8310.886363636364</v>
      </c>
      <c r="BU59" s="630">
        <f t="shared" si="18"/>
        <v>315813.68181818188</v>
      </c>
      <c r="BV59" s="662">
        <f>+BS$28*BU59+BT59</f>
        <v>64622.528985854427</v>
      </c>
      <c r="BW59" s="661">
        <f>+BY58</f>
        <v>22641018.170454547</v>
      </c>
      <c r="BX59" s="630">
        <f>+BW$31</f>
        <v>576841.22727272729</v>
      </c>
      <c r="BY59" s="630">
        <f t="shared" si="20"/>
        <v>22064176.94318182</v>
      </c>
      <c r="BZ59" s="662">
        <f>+BW$28*BY59+BX59</f>
        <v>4511028.1175454063</v>
      </c>
      <c r="CA59" s="661">
        <f>+CC58</f>
        <v>2136531.3600000003</v>
      </c>
      <c r="CB59" s="630">
        <f>+CA$31</f>
        <v>54433.919999999998</v>
      </c>
      <c r="CC59" s="630">
        <f t="shared" si="21"/>
        <v>2082097.4400000004</v>
      </c>
      <c r="CD59" s="662">
        <f>+CA$28*CC59+CB59</f>
        <v>425685.4955204532</v>
      </c>
      <c r="CE59" s="661">
        <f>+CG58</f>
        <v>185457.39181818184</v>
      </c>
      <c r="CF59" s="630">
        <f>+CE$31</f>
        <v>4725.0290909090909</v>
      </c>
      <c r="CG59" s="630">
        <f t="shared" si="22"/>
        <v>180732.36272727276</v>
      </c>
      <c r="CH59" s="662">
        <f>+CE$28*CG59+CF59</f>
        <v>36950.790057232567</v>
      </c>
      <c r="CI59" s="661">
        <f>+CK58</f>
        <v>497599.77272727271</v>
      </c>
      <c r="CJ59" s="630">
        <f>+CI$31</f>
        <v>12362.727272727272</v>
      </c>
      <c r="CK59" s="630">
        <f t="shared" si="24"/>
        <v>485237.04545454541</v>
      </c>
      <c r="CL59" s="662">
        <f>+CI$28*CK59+CJ59</f>
        <v>98883.662443700683</v>
      </c>
      <c r="CM59" s="661">
        <f>+CM30</f>
        <v>21282432.550000001</v>
      </c>
      <c r="CN59" s="630">
        <f>+CM$31/12*(12-$CE$32)</f>
        <v>362768.73664772726</v>
      </c>
      <c r="CO59" s="630">
        <f t="shared" ref="CO59:CO115" si="35">+CM59-CN59</f>
        <v>20919663.813352272</v>
      </c>
      <c r="CP59" s="662">
        <f>+CM$28*CO59+CN59</f>
        <v>4092881.4589731735</v>
      </c>
      <c r="CQ59" s="661">
        <f>+CQ30</f>
        <v>88780382.429999992</v>
      </c>
      <c r="CR59" s="630">
        <f>+CQ$31/12*(12-$CQ$32)</f>
        <v>504433.99107954535</v>
      </c>
      <c r="CS59" s="630">
        <f t="shared" ref="CS59:CS60" si="36">+CQ59-CR59</f>
        <v>88275948.438920453</v>
      </c>
      <c r="CT59" s="662">
        <f>+CQ$28*CS59+CR59</f>
        <v>16244612.28864832</v>
      </c>
      <c r="CU59" s="661">
        <f>+CU30</f>
        <v>29752596.390000001</v>
      </c>
      <c r="CV59" s="630">
        <f>+CU$31/12*(12-CU$32)</f>
        <v>0</v>
      </c>
      <c r="CW59" s="630">
        <f t="shared" ref="CW59:CW60" si="37">+CU59-CV59</f>
        <v>29752596.390000001</v>
      </c>
      <c r="CX59" s="662">
        <f>+CU$28*CW59+CV59</f>
        <v>5305082.3047031108</v>
      </c>
      <c r="CY59" s="782">
        <f t="shared" si="25"/>
        <v>31635620.056660958</v>
      </c>
      <c r="CZ59" s="756"/>
      <c r="DA59" s="778">
        <f>+CY59</f>
        <v>31635620.056660958</v>
      </c>
      <c r="DB59" s="645"/>
      <c r="DD59" s="661">
        <f>+DF58</f>
        <v>10377486.233333334</v>
      </c>
      <c r="DE59" s="630">
        <f>+DD$31</f>
        <v>1270712.6000000001</v>
      </c>
      <c r="DF59" s="630">
        <f t="shared" si="26"/>
        <v>9106773.6333333347</v>
      </c>
      <c r="DG59" s="662">
        <f>+DD$28*DF59+DE59</f>
        <v>3121814.2621075707</v>
      </c>
      <c r="DH59" s="661">
        <f>+DJ58</f>
        <v>8049639.5999999996</v>
      </c>
      <c r="DI59" s="630">
        <f>+DH$31</f>
        <v>894404.4</v>
      </c>
      <c r="DJ59" s="630">
        <f t="shared" si="27"/>
        <v>7155235.1999999993</v>
      </c>
      <c r="DK59" s="662">
        <f>+DH$28*DJ59+DI59</f>
        <v>2348823.7481443249</v>
      </c>
      <c r="DL59" s="661">
        <f>+DN58</f>
        <v>1252422.4364166665</v>
      </c>
      <c r="DM59" s="630">
        <f>+DL$31</f>
        <v>140458.59099999999</v>
      </c>
      <c r="DN59" s="630">
        <f t="shared" si="28"/>
        <v>1111963.8454166665</v>
      </c>
      <c r="DO59" s="662">
        <f>+DL$28*DN59+DM59</f>
        <v>366483.54839217139</v>
      </c>
      <c r="DP59" s="661">
        <f>+DR58</f>
        <v>152642.70000000001</v>
      </c>
      <c r="DQ59" s="630">
        <f>+DP$31</f>
        <v>16960.3</v>
      </c>
      <c r="DR59" s="630">
        <f t="shared" si="29"/>
        <v>135682.40000000002</v>
      </c>
      <c r="DS59" s="662">
        <f>+DP$28*DR59+DQ59</f>
        <v>44539.981484496493</v>
      </c>
      <c r="DT59" s="661">
        <f>+DV58</f>
        <v>11493.038333333334</v>
      </c>
      <c r="DU59" s="630">
        <f>+DT$31</f>
        <v>1253.7860000000001</v>
      </c>
      <c r="DV59" s="630">
        <f t="shared" si="34"/>
        <v>10239.252333333334</v>
      </c>
      <c r="DW59" s="662">
        <f>+DT$28*DV59+DU59</f>
        <v>3335.0826014215613</v>
      </c>
      <c r="DX59" s="661">
        <f>+DZ58</f>
        <v>37307654.814999998</v>
      </c>
      <c r="DY59" s="630">
        <f>+DX$31</f>
        <v>4033259.9799999995</v>
      </c>
      <c r="DZ59" s="630">
        <f t="shared" si="30"/>
        <v>33274394.834999997</v>
      </c>
      <c r="EA59" s="662">
        <f>+DX$28*DZ59+DY59</f>
        <v>10796828.513123494</v>
      </c>
      <c r="EB59" s="661">
        <f>+ED58</f>
        <v>508427.8608333334</v>
      </c>
      <c r="EC59" s="630">
        <f>+EB$31</f>
        <v>53053.342000000004</v>
      </c>
      <c r="ED59" s="630">
        <f t="shared" si="31"/>
        <v>455374.51883333339</v>
      </c>
      <c r="EE59" s="662">
        <f>+EB$28*ED59+EC59</f>
        <v>145615.70959947631</v>
      </c>
      <c r="EF59" s="661">
        <f>+EH58</f>
        <v>-516605.81749999971</v>
      </c>
      <c r="EG59" s="630">
        <f>+EF$31</f>
        <v>-53906.693999999974</v>
      </c>
      <c r="EH59" s="630">
        <f t="shared" si="32"/>
        <v>-462699.12349999975</v>
      </c>
      <c r="EI59" s="662">
        <f>+EF$28*EH59+EG59</f>
        <v>-147957.90807998157</v>
      </c>
      <c r="EJ59" s="661">
        <f>+EL58</f>
        <v>32720640.384833332</v>
      </c>
      <c r="EK59" s="630">
        <f>+EJ$31</f>
        <v>3327522.7509999997</v>
      </c>
      <c r="EL59" s="630">
        <f t="shared" si="33"/>
        <v>29393117.633833334</v>
      </c>
      <c r="EM59" s="662">
        <f>+EJ$28*EL59+EK59</f>
        <v>9302157.7970889583</v>
      </c>
      <c r="EN59" s="661">
        <f>+EP58</f>
        <v>493706.99174999999</v>
      </c>
      <c r="EO59" s="630">
        <f>+EN$31</f>
        <v>49785.578999999998</v>
      </c>
      <c r="EP59" s="630">
        <f t="shared" ref="EP59:EP76" si="38">+EN59-EO59</f>
        <v>443921.41275000002</v>
      </c>
      <c r="EQ59" s="662">
        <f>+EN$28*EP59+EO59</f>
        <v>140019.91424018369</v>
      </c>
      <c r="ER59" s="661">
        <f>+ER30</f>
        <v>1756061.9100000001</v>
      </c>
      <c r="ES59" s="630">
        <f>+ER$31/12*(12-$ER$32)</f>
        <v>87803.09550000001</v>
      </c>
      <c r="ET59" s="630">
        <f t="shared" ref="ET59:ET76" si="39">+ER59-ES59</f>
        <v>1668258.8145000001</v>
      </c>
      <c r="EU59" s="662">
        <f>+(((ER$28*ET59)*(12-ER$32)/12))+ES59</f>
        <v>257353.62945876591</v>
      </c>
      <c r="EV59" s="780">
        <f>+DG59+DK59+DO59+DS59+DW59+EA59+EE59+EM59+EI59+EQ59+EU59</f>
        <v>26379014.278160881</v>
      </c>
      <c r="EW59" s="661"/>
      <c r="EX59" s="630"/>
      <c r="EY59" s="630"/>
      <c r="EZ59" s="662"/>
      <c r="FA59" s="661"/>
      <c r="FB59" s="630"/>
      <c r="FC59" s="630"/>
      <c r="FD59" s="662"/>
    </row>
    <row r="60" spans="1:161">
      <c r="A60" s="753" t="s">
        <v>23</v>
      </c>
      <c r="B60" s="774">
        <f t="shared" si="0"/>
        <v>2016</v>
      </c>
      <c r="C60" s="775">
        <f>+C59</f>
        <v>16382855.415340908</v>
      </c>
      <c r="D60" s="775">
        <f>+D59</f>
        <v>445791.98409090913</v>
      </c>
      <c r="E60" s="775">
        <f t="shared" si="6"/>
        <v>15937063.431249999</v>
      </c>
      <c r="F60" s="757">
        <f>+C$29*E60+D60</f>
        <v>3414231.7597970823</v>
      </c>
      <c r="G60" s="775">
        <f>+G59</f>
        <v>4228187.3584090881</v>
      </c>
      <c r="H60" s="775">
        <f>+H59</f>
        <v>115840.74954545456</v>
      </c>
      <c r="I60" s="775">
        <f t="shared" si="7"/>
        <v>4112346.6088636336</v>
      </c>
      <c r="J60" s="757">
        <f>+G$29*I60+H60</f>
        <v>881807.03297661419</v>
      </c>
      <c r="K60" s="776">
        <f>+K59</f>
        <v>10918756.460624997</v>
      </c>
      <c r="L60" s="775">
        <f>+L59</f>
        <v>305419.76113636367</v>
      </c>
      <c r="M60" s="775">
        <f t="shared" si="8"/>
        <v>10613336.699488632</v>
      </c>
      <c r="N60" s="757">
        <f>+K$29*M60+L60</f>
        <v>2282261.4137803405</v>
      </c>
      <c r="O60" s="776">
        <f>+O59</f>
        <v>4514134.0378787871</v>
      </c>
      <c r="P60" s="775">
        <f>+P59</f>
        <v>119316.31818181818</v>
      </c>
      <c r="Q60" s="775">
        <f t="shared" si="11"/>
        <v>4394817.7196969688</v>
      </c>
      <c r="R60" s="757">
        <f>+O$29*Q60+P60</f>
        <v>937895.71220908803</v>
      </c>
      <c r="S60" s="661">
        <f>+S59</f>
        <v>2109084.6806060593</v>
      </c>
      <c r="T60" s="630">
        <f>+T59</f>
        <v>58315.705454545445</v>
      </c>
      <c r="U60" s="630">
        <f t="shared" si="12"/>
        <v>2050768.9751515137</v>
      </c>
      <c r="V60" s="662">
        <f>+S$29*U60+T60</f>
        <v>440292.23600453197</v>
      </c>
      <c r="W60" s="661">
        <f>+W59</f>
        <v>26229608.382575758</v>
      </c>
      <c r="X60" s="630">
        <f>+X59</f>
        <v>693293.61363636365</v>
      </c>
      <c r="Y60" s="630">
        <f t="shared" si="13"/>
        <v>25536314.768939395</v>
      </c>
      <c r="Z60" s="662">
        <f>+W$29*Y60+X60</f>
        <v>5449691.3535383884</v>
      </c>
      <c r="AA60" s="661">
        <f>+AA59</f>
        <v>17094095.78598484</v>
      </c>
      <c r="AB60" s="630">
        <f>+AB59</f>
        <v>450833.29545454547</v>
      </c>
      <c r="AC60" s="630">
        <f t="shared" si="14"/>
        <v>16643262.490530295</v>
      </c>
      <c r="AD60" s="662">
        <f>+AA$29*AC60+AB60</f>
        <v>3550809.811676126</v>
      </c>
      <c r="AE60" s="661">
        <f>+AE59</f>
        <v>172420.73863636371</v>
      </c>
      <c r="AF60" s="630">
        <f>+AF59</f>
        <v>4597.886363636364</v>
      </c>
      <c r="AG60" s="630">
        <f t="shared" si="15"/>
        <v>167822.85227272735</v>
      </c>
      <c r="AH60" s="662">
        <f>+AE$29*AG60+AF60</f>
        <v>35856.595479519689</v>
      </c>
      <c r="AI60" s="661">
        <f>+AI59</f>
        <v>11477091.935606061</v>
      </c>
      <c r="AJ60" s="630">
        <f>+AJ59</f>
        <v>295547.43181818182</v>
      </c>
      <c r="AK60" s="630">
        <f t="shared" si="19"/>
        <v>11181544.503787879</v>
      </c>
      <c r="AL60" s="662">
        <f>+AI$29*AK60+AJ60</f>
        <v>2378223.5535552055</v>
      </c>
      <c r="AM60" s="661">
        <f>+AM59</f>
        <v>4268376.2537499983</v>
      </c>
      <c r="AN60" s="630">
        <f>+AN59</f>
        <v>110866.91568181818</v>
      </c>
      <c r="AO60" s="630">
        <f t="shared" si="16"/>
        <v>4157509.3380681803</v>
      </c>
      <c r="AP60" s="662">
        <f>+AM$29*AO60+AN60</f>
        <v>885245.21568858786</v>
      </c>
      <c r="AQ60" s="661">
        <f>+AQ59</f>
        <v>35066124.19431819</v>
      </c>
      <c r="AR60" s="630">
        <f>+AR59</f>
        <v>904932.23727272719</v>
      </c>
      <c r="AS60" s="630">
        <f t="shared" si="17"/>
        <v>34161191.957045466</v>
      </c>
      <c r="AT60" s="662">
        <f>+AQ$29*AS60+AR60</f>
        <v>7267800.8691430092</v>
      </c>
      <c r="AU60" s="776">
        <f>+AU59</f>
        <v>23875000</v>
      </c>
      <c r="AV60" s="775">
        <f>+AV59</f>
        <v>750000</v>
      </c>
      <c r="AW60" s="775">
        <f t="shared" si="1"/>
        <v>23125000</v>
      </c>
      <c r="AX60" s="757">
        <f>+AU$29*AW60+AV60</f>
        <v>750000</v>
      </c>
      <c r="AY60" s="776">
        <f>+AY59</f>
        <v>15583333.333333332</v>
      </c>
      <c r="AZ60" s="775">
        <f>+AZ59</f>
        <v>500000</v>
      </c>
      <c r="BA60" s="775">
        <f t="shared" si="2"/>
        <v>15083333.333333332</v>
      </c>
      <c r="BB60" s="757">
        <f>+AY$29*BA60+AZ60</f>
        <v>500000</v>
      </c>
      <c r="BC60" s="776">
        <f>+BC59</f>
        <v>24250000</v>
      </c>
      <c r="BD60" s="775">
        <f>+BD59</f>
        <v>750000</v>
      </c>
      <c r="BE60" s="775">
        <f t="shared" si="4"/>
        <v>23500000</v>
      </c>
      <c r="BF60" s="757">
        <f>+BC$29*BE60+BD60</f>
        <v>750000</v>
      </c>
      <c r="BG60" s="776">
        <f>+BG59</f>
        <v>15952380.952380955</v>
      </c>
      <c r="BH60" s="775">
        <f>+BH59</f>
        <v>571428.57142857148</v>
      </c>
      <c r="BI60" s="775">
        <f t="shared" si="5"/>
        <v>15380952.380952384</v>
      </c>
      <c r="BJ60" s="757">
        <f>+BG$29*BI60+BH60</f>
        <v>571428.57142857148</v>
      </c>
      <c r="BK60" s="776">
        <f>+BK59</f>
        <v>22400000</v>
      </c>
      <c r="BL60" s="775">
        <f>+BL59</f>
        <v>1200000</v>
      </c>
      <c r="BM60" s="775">
        <f t="shared" si="9"/>
        <v>21200000</v>
      </c>
      <c r="BN60" s="757">
        <f>+BK$29*BM60+BL60</f>
        <v>1200000</v>
      </c>
      <c r="BO60" s="776">
        <f>+BO59</f>
        <v>15833333.333333328</v>
      </c>
      <c r="BP60" s="775">
        <f>+BP59</f>
        <v>666666.66666666663</v>
      </c>
      <c r="BQ60" s="775">
        <f t="shared" si="10"/>
        <v>15166666.666666662</v>
      </c>
      <c r="BR60" s="757">
        <f>+BO$29*BQ60+BP60</f>
        <v>666666.66666666663</v>
      </c>
      <c r="BS60" s="661">
        <f>+BS59</f>
        <v>324124.56818181823</v>
      </c>
      <c r="BT60" s="630">
        <f>+BT59</f>
        <v>8310.886363636364</v>
      </c>
      <c r="BU60" s="630">
        <f t="shared" si="18"/>
        <v>315813.68181818188</v>
      </c>
      <c r="BV60" s="662">
        <f>+BS$29*BU60+BT60</f>
        <v>67134.389129087518</v>
      </c>
      <c r="BW60" s="661">
        <f>+BW59</f>
        <v>22641018.170454547</v>
      </c>
      <c r="BX60" s="630">
        <f>+BX59</f>
        <v>576841.22727272729</v>
      </c>
      <c r="BY60" s="630">
        <f t="shared" si="20"/>
        <v>22064176.94318182</v>
      </c>
      <c r="BZ60" s="662">
        <f>+BW$29*BY60+BX60</f>
        <v>4511028.1175454063</v>
      </c>
      <c r="CA60" s="661">
        <f>+CA59</f>
        <v>2136531.3600000003</v>
      </c>
      <c r="CB60" s="630">
        <f>+CB59</f>
        <v>54433.919999999998</v>
      </c>
      <c r="CC60" s="630">
        <f t="shared" si="21"/>
        <v>2082097.4400000004</v>
      </c>
      <c r="CD60" s="662">
        <f>+CA$29*CC60+CB60</f>
        <v>442245.69501451624</v>
      </c>
      <c r="CE60" s="661">
        <f>+CE59</f>
        <v>185457.39181818184</v>
      </c>
      <c r="CF60" s="630">
        <f>+CF59</f>
        <v>4725.0290909090909</v>
      </c>
      <c r="CG60" s="630">
        <f t="shared" si="22"/>
        <v>180732.36272727276</v>
      </c>
      <c r="CH60" s="662">
        <f>+CE$29*CG60+CF60</f>
        <v>38388.265520339133</v>
      </c>
      <c r="CI60" s="661">
        <f>+CI59</f>
        <v>497599.77272727271</v>
      </c>
      <c r="CJ60" s="630">
        <f>+CJ59</f>
        <v>12362.727272727272</v>
      </c>
      <c r="CK60" s="630">
        <f t="shared" si="24"/>
        <v>485237.04545454541</v>
      </c>
      <c r="CL60" s="662">
        <f>+CI$29*CK60+CJ60</f>
        <v>98883.662443700683</v>
      </c>
      <c r="CM60" s="661">
        <f>+CM59</f>
        <v>21282432.550000001</v>
      </c>
      <c r="CN60" s="630">
        <f>+CN59</f>
        <v>362768.73664772726</v>
      </c>
      <c r="CO60" s="630">
        <f t="shared" si="35"/>
        <v>20919663.813352272</v>
      </c>
      <c r="CP60" s="662">
        <f>+CM$29*CO60+CN60</f>
        <v>4092881.4589731735</v>
      </c>
      <c r="CQ60" s="661">
        <f>+CQ59</f>
        <v>88780382.429999992</v>
      </c>
      <c r="CR60" s="630">
        <f>+CR59</f>
        <v>504433.99107954535</v>
      </c>
      <c r="CS60" s="630">
        <f t="shared" si="36"/>
        <v>88275948.438920453</v>
      </c>
      <c r="CT60" s="662">
        <f>+CQ$29*CS60+CR60</f>
        <v>16244612.28864832</v>
      </c>
      <c r="CU60" s="661">
        <f>+CU59</f>
        <v>29752596.390000001</v>
      </c>
      <c r="CV60" s="630">
        <f>+CV59</f>
        <v>0</v>
      </c>
      <c r="CW60" s="630">
        <f t="shared" si="37"/>
        <v>29752596.390000001</v>
      </c>
      <c r="CX60" s="662">
        <f>+CU$29*CW60+CV60</f>
        <v>5305082.3047031108</v>
      </c>
      <c r="CY60" s="782">
        <f t="shared" si="25"/>
        <v>32681795.683501542</v>
      </c>
      <c r="CZ60" s="779">
        <f>+CY60</f>
        <v>32681795.683501542</v>
      </c>
      <c r="DA60" s="752"/>
      <c r="DB60" s="800">
        <f>+CZ60-DA59</f>
        <v>1046175.626840584</v>
      </c>
      <c r="DD60" s="661">
        <f>+DD59</f>
        <v>10377486.233333334</v>
      </c>
      <c r="DE60" s="630">
        <f>+DE59</f>
        <v>1270712.6000000001</v>
      </c>
      <c r="DF60" s="630">
        <f t="shared" si="26"/>
        <v>9106773.6333333347</v>
      </c>
      <c r="DG60" s="662">
        <f>+DD$29*DF60+DE60</f>
        <v>3121814.2621075707</v>
      </c>
      <c r="DH60" s="661">
        <f>+DH59</f>
        <v>8049639.5999999996</v>
      </c>
      <c r="DI60" s="630">
        <f>+DI59</f>
        <v>894404.4</v>
      </c>
      <c r="DJ60" s="630">
        <f t="shared" si="27"/>
        <v>7155235.1999999993</v>
      </c>
      <c r="DK60" s="662">
        <f>+DH$29*DJ60+DI60</f>
        <v>2348823.7481443249</v>
      </c>
      <c r="DL60" s="661">
        <f>+DL59</f>
        <v>1252422.4364166665</v>
      </c>
      <c r="DM60" s="630">
        <f>+DM59</f>
        <v>140458.59099999999</v>
      </c>
      <c r="DN60" s="630">
        <f t="shared" si="28"/>
        <v>1111963.8454166665</v>
      </c>
      <c r="DO60" s="662">
        <f>+DL$29*DN60+DM60</f>
        <v>366483.54839217139</v>
      </c>
      <c r="DP60" s="661">
        <f>+DP59</f>
        <v>152642.70000000001</v>
      </c>
      <c r="DQ60" s="630">
        <f>+DQ59</f>
        <v>16960.3</v>
      </c>
      <c r="DR60" s="630">
        <f t="shared" si="29"/>
        <v>135682.40000000002</v>
      </c>
      <c r="DS60" s="662">
        <f>+DP$29*DR60+DQ60</f>
        <v>44539.981484496493</v>
      </c>
      <c r="DT60" s="661">
        <f>+DT59</f>
        <v>11493.038333333334</v>
      </c>
      <c r="DU60" s="630">
        <f>+DU59</f>
        <v>1253.7860000000001</v>
      </c>
      <c r="DV60" s="630">
        <f t="shared" si="34"/>
        <v>10239.252333333334</v>
      </c>
      <c r="DW60" s="662">
        <f>+DT$29*DV60+DU60</f>
        <v>3335.0826014215613</v>
      </c>
      <c r="DX60" s="661">
        <f>+DX59</f>
        <v>37307654.814999998</v>
      </c>
      <c r="DY60" s="630">
        <f>+DY59</f>
        <v>4033259.9799999995</v>
      </c>
      <c r="DZ60" s="630">
        <f t="shared" si="30"/>
        <v>33274394.834999997</v>
      </c>
      <c r="EA60" s="662">
        <f>+DX$29*DZ60+DY60</f>
        <v>10796828.513123494</v>
      </c>
      <c r="EB60" s="661">
        <f>+EB59</f>
        <v>508427.8608333334</v>
      </c>
      <c r="EC60" s="630">
        <f>+EC59</f>
        <v>53053.342000000004</v>
      </c>
      <c r="ED60" s="630">
        <f t="shared" si="31"/>
        <v>455374.51883333339</v>
      </c>
      <c r="EE60" s="662">
        <f>+EB$29*ED60+EC60</f>
        <v>145615.70959947631</v>
      </c>
      <c r="EF60" s="661">
        <f>+EF59</f>
        <v>-516605.81749999971</v>
      </c>
      <c r="EG60" s="630">
        <f>+EG59</f>
        <v>-53906.693999999974</v>
      </c>
      <c r="EH60" s="630">
        <f t="shared" si="32"/>
        <v>-462699.12349999975</v>
      </c>
      <c r="EI60" s="662">
        <f>+EF$29*EH60+EG60</f>
        <v>-147957.90807998157</v>
      </c>
      <c r="EJ60" s="661">
        <f>+EJ59</f>
        <v>32720640.384833332</v>
      </c>
      <c r="EK60" s="630">
        <f>+EK59</f>
        <v>3327522.7509999997</v>
      </c>
      <c r="EL60" s="630">
        <f t="shared" si="33"/>
        <v>29393117.633833334</v>
      </c>
      <c r="EM60" s="662">
        <f>+EJ$29*EL60+EK60</f>
        <v>9302157.7970889583</v>
      </c>
      <c r="EN60" s="661">
        <f>+EN59</f>
        <v>493706.99174999999</v>
      </c>
      <c r="EO60" s="630">
        <f>+EO59</f>
        <v>49785.578999999998</v>
      </c>
      <c r="EP60" s="630">
        <f t="shared" si="38"/>
        <v>443921.41275000002</v>
      </c>
      <c r="EQ60" s="662">
        <f>+EN$29*EP60+EO60</f>
        <v>140019.91424018369</v>
      </c>
      <c r="ER60" s="661">
        <f>+ER59</f>
        <v>1756061.9100000001</v>
      </c>
      <c r="ES60" s="630">
        <f>+ES59</f>
        <v>87803.09550000001</v>
      </c>
      <c r="ET60" s="630">
        <f t="shared" si="39"/>
        <v>1668258.8145000001</v>
      </c>
      <c r="EU60" s="662">
        <f>+(((ER$29*ET60)*(12-ER$32)/12))+ES60</f>
        <v>257353.62945876591</v>
      </c>
      <c r="EW60" s="661"/>
      <c r="EX60" s="630"/>
      <c r="EY60" s="630"/>
      <c r="EZ60" s="662"/>
      <c r="FA60" s="661"/>
      <c r="FB60" s="630"/>
      <c r="FC60" s="630"/>
      <c r="FD60" s="662"/>
    </row>
    <row r="61" spans="1:161">
      <c r="A61" s="753" t="s">
        <v>24</v>
      </c>
      <c r="B61" s="774">
        <f t="shared" si="0"/>
        <v>2017</v>
      </c>
      <c r="C61" s="775">
        <f>+E60</f>
        <v>15937063.431249999</v>
      </c>
      <c r="D61" s="775">
        <f>+C$31</f>
        <v>445791.98409090913</v>
      </c>
      <c r="E61" s="775">
        <f t="shared" si="6"/>
        <v>15491271.447159089</v>
      </c>
      <c r="F61" s="757">
        <f>+C$28*E61+D61</f>
        <v>3207986.8848121846</v>
      </c>
      <c r="G61" s="775">
        <f>+I60</f>
        <v>4112346.6088636336</v>
      </c>
      <c r="H61" s="775">
        <f>+G$31</f>
        <v>115840.74954545456</v>
      </c>
      <c r="I61" s="775">
        <f t="shared" si="7"/>
        <v>3996505.8593181791</v>
      </c>
      <c r="J61" s="757">
        <f>+G$28*I61+H61</f>
        <v>828443.85271655128</v>
      </c>
      <c r="K61" s="776">
        <f>+M60</f>
        <v>10613336.699488632</v>
      </c>
      <c r="L61" s="775">
        <f>+K$31</f>
        <v>305419.76113636367</v>
      </c>
      <c r="M61" s="775">
        <f t="shared" si="8"/>
        <v>10307916.938352268</v>
      </c>
      <c r="N61" s="757">
        <f>+K$28*M61+L61</f>
        <v>2143388.6910137497</v>
      </c>
      <c r="O61" s="776">
        <f>+Q60</f>
        <v>4394817.7196969688</v>
      </c>
      <c r="P61" s="775">
        <f>+O$31</f>
        <v>119316.31818181818</v>
      </c>
      <c r="Q61" s="775">
        <f t="shared" si="11"/>
        <v>4275501.4015151504</v>
      </c>
      <c r="R61" s="757">
        <f>+O$28*Q61+P61</f>
        <v>881666.14915438066</v>
      </c>
      <c r="S61" s="661">
        <f>+U60</f>
        <v>2050768.9751515137</v>
      </c>
      <c r="T61" s="630">
        <f>+S$31</f>
        <v>58315.705454545445</v>
      </c>
      <c r="U61" s="630">
        <f t="shared" si="12"/>
        <v>1992453.2696969681</v>
      </c>
      <c r="V61" s="662">
        <f>+S$28*U61+T61</f>
        <v>413583.13978071115</v>
      </c>
      <c r="W61" s="661">
        <f>+Y60</f>
        <v>25536314.768939395</v>
      </c>
      <c r="X61" s="630">
        <f>+W$31</f>
        <v>693293.61363636365</v>
      </c>
      <c r="Y61" s="630">
        <f t="shared" si="13"/>
        <v>24843021.155303031</v>
      </c>
      <c r="Z61" s="662">
        <f>+W$28*Y61+X61</f>
        <v>5122966.5806201752</v>
      </c>
      <c r="AA61" s="661">
        <f>+AC60</f>
        <v>16643262.490530295</v>
      </c>
      <c r="AB61" s="630">
        <f>+AA$31</f>
        <v>450833.29545454547</v>
      </c>
      <c r="AC61" s="630">
        <f t="shared" si="14"/>
        <v>16192429.19507575</v>
      </c>
      <c r="AD61" s="662">
        <f>+AA$28*AC61+AB61</f>
        <v>3338049.2031669412</v>
      </c>
      <c r="AE61" s="661">
        <f>+AG60</f>
        <v>167822.85227272735</v>
      </c>
      <c r="AF61" s="630">
        <f>+AE$31</f>
        <v>4597.886363636364</v>
      </c>
      <c r="AG61" s="630">
        <f t="shared" si="15"/>
        <v>163224.965909091</v>
      </c>
      <c r="AH61" s="662">
        <f>+AE$28*AG61+AF61</f>
        <v>33701.96410460044</v>
      </c>
      <c r="AI61" s="661">
        <f>+AK60</f>
        <v>11181544.503787879</v>
      </c>
      <c r="AJ61" s="630">
        <f>+AI$31</f>
        <v>295547.43181818182</v>
      </c>
      <c r="AK61" s="630">
        <f t="shared" si="19"/>
        <v>10885997.071969697</v>
      </c>
      <c r="AL61" s="662">
        <f>+AI$28*AK61+AJ61</f>
        <v>2236591.8260131958</v>
      </c>
      <c r="AM61" s="661">
        <f>+AO60</f>
        <v>4157509.3380681803</v>
      </c>
      <c r="AN61" s="630">
        <f>+AM$31</f>
        <v>110866.91568181818</v>
      </c>
      <c r="AO61" s="630">
        <f t="shared" si="16"/>
        <v>4046642.4223863622</v>
      </c>
      <c r="AP61" s="662">
        <f>+AM$28*AO61+AN61</f>
        <v>832409.69558112964</v>
      </c>
      <c r="AQ61" s="661">
        <f>+AS60</f>
        <v>34161191.957045466</v>
      </c>
      <c r="AR61" s="630">
        <f>+AQ$31</f>
        <v>904932.23727272719</v>
      </c>
      <c r="AS61" s="630">
        <f t="shared" si="17"/>
        <v>33256259.719772737</v>
      </c>
      <c r="AT61" s="662">
        <f>+AQ$28*AS61+AR61</f>
        <v>6834740.6024772935</v>
      </c>
      <c r="AU61" s="776">
        <f>+AW60</f>
        <v>23125000</v>
      </c>
      <c r="AV61" s="775">
        <f>+AU$31</f>
        <v>750000</v>
      </c>
      <c r="AW61" s="775">
        <f t="shared" si="1"/>
        <v>22375000</v>
      </c>
      <c r="AX61" s="757">
        <f>+AU$28*AW61+AV61</f>
        <v>750000</v>
      </c>
      <c r="AY61" s="776">
        <f>+BA60</f>
        <v>15083333.333333332</v>
      </c>
      <c r="AZ61" s="775">
        <f>+AY$31</f>
        <v>500000</v>
      </c>
      <c r="BA61" s="775">
        <f t="shared" si="2"/>
        <v>14583333.333333332</v>
      </c>
      <c r="BB61" s="757">
        <f>+AY$28*BA61+AZ61</f>
        <v>500000</v>
      </c>
      <c r="BC61" s="776">
        <f>+BE60</f>
        <v>23500000</v>
      </c>
      <c r="BD61" s="775">
        <f>+BC$31</f>
        <v>750000</v>
      </c>
      <c r="BE61" s="775">
        <f t="shared" si="4"/>
        <v>22750000</v>
      </c>
      <c r="BF61" s="757">
        <f>+BC$28*BE61+BD61</f>
        <v>750000</v>
      </c>
      <c r="BG61" s="776">
        <f>+BI60</f>
        <v>15380952.380952384</v>
      </c>
      <c r="BH61" s="775">
        <f>+BG$31</f>
        <v>571428.57142857148</v>
      </c>
      <c r="BI61" s="775">
        <f t="shared" si="5"/>
        <v>14809523.809523813</v>
      </c>
      <c r="BJ61" s="757">
        <f>+BG$28*BI61+BH61</f>
        <v>571428.57142857148</v>
      </c>
      <c r="BK61" s="776">
        <f>+BM60</f>
        <v>21200000</v>
      </c>
      <c r="BL61" s="775">
        <f>+BK$31</f>
        <v>1200000</v>
      </c>
      <c r="BM61" s="775">
        <f t="shared" si="9"/>
        <v>20000000</v>
      </c>
      <c r="BN61" s="757">
        <f>+BK$28*BM61+BL61</f>
        <v>1200000</v>
      </c>
      <c r="BO61" s="776">
        <f>+BQ60</f>
        <v>15166666.666666662</v>
      </c>
      <c r="BP61" s="775">
        <f>+BO$31</f>
        <v>666666.66666666663</v>
      </c>
      <c r="BQ61" s="775">
        <f t="shared" si="10"/>
        <v>14499999.999999996</v>
      </c>
      <c r="BR61" s="757">
        <f>+BO$28*BQ61+BP61</f>
        <v>666666.66666666663</v>
      </c>
      <c r="BS61" s="661">
        <f>+BU60</f>
        <v>315813.68181818188</v>
      </c>
      <c r="BT61" s="630">
        <f>+BS$31</f>
        <v>8310.886363636364</v>
      </c>
      <c r="BU61" s="630">
        <f t="shared" si="18"/>
        <v>307502.79545454553</v>
      </c>
      <c r="BV61" s="662">
        <f>+BS$28*BU61+BT61</f>
        <v>63140.6436536908</v>
      </c>
      <c r="BW61" s="661">
        <f>+BY60</f>
        <v>22064176.94318182</v>
      </c>
      <c r="BX61" s="630">
        <f>+BW$31</f>
        <v>576841.22727272729</v>
      </c>
      <c r="BY61" s="630">
        <f t="shared" si="20"/>
        <v>21487335.715909094</v>
      </c>
      <c r="BZ61" s="662">
        <f>+BW$28*BY61+BX61</f>
        <v>4408173.5583225917</v>
      </c>
      <c r="CA61" s="661">
        <f>+CC60</f>
        <v>2082097.4400000004</v>
      </c>
      <c r="CB61" s="630">
        <f>+CA$31</f>
        <v>54433.919999999998</v>
      </c>
      <c r="CC61" s="630">
        <f t="shared" si="21"/>
        <v>2027663.5200000005</v>
      </c>
      <c r="CD61" s="662">
        <f>+CA$28*CC61+CB61</f>
        <v>415979.57197743485</v>
      </c>
      <c r="CE61" s="661">
        <f>+CG60</f>
        <v>180732.36272727276</v>
      </c>
      <c r="CF61" s="630">
        <f>+CE$31</f>
        <v>4725.0290909090909</v>
      </c>
      <c r="CG61" s="630">
        <f t="shared" si="22"/>
        <v>176007.33363636368</v>
      </c>
      <c r="CH61" s="662">
        <f>+CE$28*CG61+CF61</f>
        <v>36108.286502557443</v>
      </c>
      <c r="CI61" s="661">
        <f>+CK60</f>
        <v>485237.04545454541</v>
      </c>
      <c r="CJ61" s="630">
        <f>+CI$31</f>
        <v>12362.727272727272</v>
      </c>
      <c r="CK61" s="630">
        <f t="shared" si="24"/>
        <v>472874.31818181812</v>
      </c>
      <c r="CL61" s="662">
        <f>+CI$28*CK61+CJ61</f>
        <v>96679.307407497545</v>
      </c>
      <c r="CM61" s="661">
        <f>+CO60</f>
        <v>20919663.813352272</v>
      </c>
      <c r="CN61" s="630">
        <f>+CM$31</f>
        <v>483691.64886363636</v>
      </c>
      <c r="CO61" s="630">
        <f t="shared" si="35"/>
        <v>20435972.164488636</v>
      </c>
      <c r="CP61" s="662">
        <f>+CM$28*CO61+CN61</f>
        <v>4127558.9903260665</v>
      </c>
      <c r="CQ61" s="661">
        <f>+CS60</f>
        <v>88275948.438920453</v>
      </c>
      <c r="CR61" s="630">
        <f>+CQ$31</f>
        <v>2017735.9643181816</v>
      </c>
      <c r="CS61" s="630">
        <f t="shared" ref="CS61:CS115" si="40">+CQ61-CR61</f>
        <v>86258212.474602267</v>
      </c>
      <c r="CT61" s="662">
        <f>+CQ$28*CS61+CR61</f>
        <v>17398138.757942528</v>
      </c>
      <c r="CU61" s="661">
        <f>+CW60</f>
        <v>29752596.390000001</v>
      </c>
      <c r="CV61" s="630">
        <f>+CU$31</f>
        <v>676195.37250000006</v>
      </c>
      <c r="CW61" s="630">
        <f t="shared" ref="CW61:CW115" si="41">+CU61-CV61</f>
        <v>29076401.017500002</v>
      </c>
      <c r="CX61" s="662">
        <f>+CU$28*CW61+CV61</f>
        <v>5860707.6248234957</v>
      </c>
      <c r="CY61" s="782">
        <f t="shared" si="25"/>
        <v>30893609.95730469</v>
      </c>
      <c r="CZ61" s="756"/>
      <c r="DA61" s="778">
        <f>+CY61</f>
        <v>30893609.95730469</v>
      </c>
      <c r="DD61" s="661">
        <f>+DF60</f>
        <v>9106773.6333333347</v>
      </c>
      <c r="DE61" s="630">
        <f>+DE59</f>
        <v>1270712.6000000001</v>
      </c>
      <c r="DF61" s="630">
        <f t="shared" si="26"/>
        <v>7836061.0333333351</v>
      </c>
      <c r="DG61" s="662">
        <f>+DD$28*DF61+DE61</f>
        <v>2863521.0069297701</v>
      </c>
      <c r="DH61" s="661">
        <f>+DJ60</f>
        <v>7155235.1999999993</v>
      </c>
      <c r="DI61" s="630">
        <f>+DI59</f>
        <v>894404.4</v>
      </c>
      <c r="DJ61" s="630">
        <f t="shared" si="27"/>
        <v>6260830.7999999989</v>
      </c>
      <c r="DK61" s="662">
        <f>+DH$28*DJ61+DI61</f>
        <v>2167021.3296262841</v>
      </c>
      <c r="DL61" s="661">
        <f>+DN60</f>
        <v>1111963.8454166665</v>
      </c>
      <c r="DM61" s="630">
        <f>+DM59</f>
        <v>140458.59099999999</v>
      </c>
      <c r="DN61" s="630">
        <f t="shared" si="28"/>
        <v>971505.25441666646</v>
      </c>
      <c r="DO61" s="662">
        <f>+DL$28*DN61+DM61</f>
        <v>337933.0274584234</v>
      </c>
      <c r="DP61" s="661">
        <f>+DR60</f>
        <v>135682.40000000002</v>
      </c>
      <c r="DQ61" s="630">
        <f>+DQ59</f>
        <v>16960.3</v>
      </c>
      <c r="DR61" s="630">
        <f t="shared" si="29"/>
        <v>118722.10000000002</v>
      </c>
      <c r="DS61" s="662">
        <f>+DP$28*DR61+DQ61</f>
        <v>41092.521298934429</v>
      </c>
      <c r="DT61" s="661">
        <f>+DV60</f>
        <v>10239.252333333334</v>
      </c>
      <c r="DU61" s="630">
        <f>+DU59</f>
        <v>1253.7860000000001</v>
      </c>
      <c r="DV61" s="630">
        <f t="shared" si="34"/>
        <v>8985.4663333333338</v>
      </c>
      <c r="DW61" s="662">
        <f>+DT$28*DV61+DU61</f>
        <v>3080.2299563495335</v>
      </c>
      <c r="DX61" s="661">
        <f>+DZ60</f>
        <v>33274394.834999997</v>
      </c>
      <c r="DY61" s="630">
        <f>+DY59</f>
        <v>4033259.9799999995</v>
      </c>
      <c r="DZ61" s="630">
        <f t="shared" si="30"/>
        <v>29241134.854999997</v>
      </c>
      <c r="EA61" s="662">
        <f>+DX$28*DZ61+DY61</f>
        <v>9977002.0242600385</v>
      </c>
      <c r="EB61" s="661">
        <f>+ED60</f>
        <v>455374.51883333339</v>
      </c>
      <c r="EC61" s="630">
        <f>+EC59</f>
        <v>53053.342000000004</v>
      </c>
      <c r="ED61" s="630">
        <f t="shared" si="31"/>
        <v>402321.17683333339</v>
      </c>
      <c r="EE61" s="662">
        <f>+EB$28*ED61+EC61</f>
        <v>134831.74444225576</v>
      </c>
      <c r="EF61" s="661">
        <f>+EH60</f>
        <v>-462699.12349999975</v>
      </c>
      <c r="EG61" s="630">
        <f>+EG59</f>
        <v>-53906.693999999974</v>
      </c>
      <c r="EH61" s="630">
        <f t="shared" si="32"/>
        <v>-408792.42949999979</v>
      </c>
      <c r="EI61" s="662">
        <f>+EF$28*EH61+EG61</f>
        <v>-137000.48508037208</v>
      </c>
      <c r="EJ61" s="661">
        <f>+EL60</f>
        <v>29393117.633833334</v>
      </c>
      <c r="EK61" s="630">
        <f>+EK59</f>
        <v>3327522.7509999997</v>
      </c>
      <c r="EL61" s="630">
        <f t="shared" si="33"/>
        <v>26065594.882833336</v>
      </c>
      <c r="EM61" s="662">
        <f>+EJ$28*EL61+EK61</f>
        <v>8625784.0182864349</v>
      </c>
      <c r="EN61" s="661">
        <f>+EP60</f>
        <v>443921.41275000002</v>
      </c>
      <c r="EO61" s="630">
        <f>+EO59</f>
        <v>49785.578999999998</v>
      </c>
      <c r="EP61" s="630">
        <f t="shared" si="38"/>
        <v>394135.83374999999</v>
      </c>
      <c r="EQ61" s="662">
        <f>+EN$28*EP61+EO61</f>
        <v>129900.1757085743</v>
      </c>
      <c r="ER61" s="661">
        <f>+ET60</f>
        <v>1668258.8145000001</v>
      </c>
      <c r="ES61" s="630">
        <f>+ER31</f>
        <v>175606.19100000002</v>
      </c>
      <c r="ET61" s="630">
        <f t="shared" si="39"/>
        <v>1492652.6235</v>
      </c>
      <c r="EU61" s="662">
        <f>+ER$28*ET61+ES61</f>
        <v>479012.40966305474</v>
      </c>
      <c r="EV61" s="780">
        <f>+DG61+DK61+DO61+DS61+DW61+EA61+EE61+EM61+EI61+EQ61+EU61</f>
        <v>24622178.002549749</v>
      </c>
      <c r="EW61" s="661"/>
      <c r="EX61" s="630"/>
      <c r="EY61" s="630"/>
      <c r="EZ61" s="662"/>
      <c r="FA61" s="661">
        <f>+FA30</f>
        <v>1159350.1399999999</v>
      </c>
      <c r="FB61" s="630">
        <f>+FA$31/12*(12-$FA$32)</f>
        <v>1159350.1399999999</v>
      </c>
      <c r="FC61" s="630">
        <f>+FB61/2</f>
        <v>579675.06999999995</v>
      </c>
      <c r="FD61" s="662">
        <f>+FA$28*FC61+FB61</f>
        <v>1224311.9614601713</v>
      </c>
      <c r="FE61" s="780"/>
    </row>
    <row r="62" spans="1:161">
      <c r="A62" s="753" t="s">
        <v>23</v>
      </c>
      <c r="B62" s="774">
        <f t="shared" si="0"/>
        <v>2017</v>
      </c>
      <c r="C62" s="775">
        <f>+C61</f>
        <v>15937063.431249999</v>
      </c>
      <c r="D62" s="775">
        <f>+D61</f>
        <v>445791.98409090913</v>
      </c>
      <c r="E62" s="775">
        <f t="shared" si="6"/>
        <v>15491271.447159089</v>
      </c>
      <c r="F62" s="757">
        <f>+C$29*E62+D62</f>
        <v>3331198.4793577492</v>
      </c>
      <c r="G62" s="775">
        <f>+G61</f>
        <v>4112346.6088636336</v>
      </c>
      <c r="H62" s="775">
        <f>+H61</f>
        <v>115840.74954545456</v>
      </c>
      <c r="I62" s="775">
        <f t="shared" si="7"/>
        <v>3996505.8593181791</v>
      </c>
      <c r="J62" s="757">
        <f>+G$29*I62+H62</f>
        <v>860230.51795038441</v>
      </c>
      <c r="K62" s="776">
        <f>+K61</f>
        <v>10613336.699488632</v>
      </c>
      <c r="L62" s="775">
        <f>+L61</f>
        <v>305419.76113636367</v>
      </c>
      <c r="M62" s="775">
        <f t="shared" si="8"/>
        <v>10307916.938352268</v>
      </c>
      <c r="N62" s="757">
        <f>+K$29*M62+L62</f>
        <v>2225373.8842078517</v>
      </c>
      <c r="O62" s="776">
        <f>+O61</f>
        <v>4394817.7196969688</v>
      </c>
      <c r="P62" s="775">
        <f>+P61</f>
        <v>119316.31818181818</v>
      </c>
      <c r="Q62" s="775">
        <f t="shared" si="11"/>
        <v>4275501.4015151504</v>
      </c>
      <c r="R62" s="757">
        <f>+O$29*Q62+P62</f>
        <v>915671.83725812146</v>
      </c>
      <c r="S62" s="661">
        <f>+S61</f>
        <v>2050768.9751515137</v>
      </c>
      <c r="T62" s="630">
        <f>+T61</f>
        <v>58315.705454545445</v>
      </c>
      <c r="U62" s="630">
        <f t="shared" si="12"/>
        <v>1992453.2696969681</v>
      </c>
      <c r="V62" s="662">
        <f>+S$29*U62+T62</f>
        <v>429430.34414055129</v>
      </c>
      <c r="W62" s="661">
        <f>+W61</f>
        <v>25536314.768939395</v>
      </c>
      <c r="X62" s="630">
        <f>+X61</f>
        <v>693293.61363636365</v>
      </c>
      <c r="Y62" s="630">
        <f t="shared" si="13"/>
        <v>24843021.155303031</v>
      </c>
      <c r="Z62" s="662">
        <f>+W$29*Y62+X62</f>
        <v>5320558.3832243057</v>
      </c>
      <c r="AA62" s="661">
        <f>+AA61</f>
        <v>16643262.490530295</v>
      </c>
      <c r="AB62" s="630">
        <f>+AB61</f>
        <v>450833.29545454547</v>
      </c>
      <c r="AC62" s="630">
        <f t="shared" si="14"/>
        <v>16192429.19507575</v>
      </c>
      <c r="AD62" s="662">
        <f>+AA$29*AC62+AB62</f>
        <v>3466837.5358416815</v>
      </c>
      <c r="AE62" s="661">
        <f>+AE61</f>
        <v>167822.85227272735</v>
      </c>
      <c r="AF62" s="630">
        <f>+AF61</f>
        <v>4597.886363636364</v>
      </c>
      <c r="AG62" s="630">
        <f t="shared" si="15"/>
        <v>163224.965909091</v>
      </c>
      <c r="AH62" s="662">
        <f>+AE$29*AG62+AF62</f>
        <v>35000.192490043431</v>
      </c>
      <c r="AI62" s="661">
        <f>+AI61</f>
        <v>11181544.503787879</v>
      </c>
      <c r="AJ62" s="630">
        <f>+AJ61</f>
        <v>295547.43181818182</v>
      </c>
      <c r="AK62" s="630">
        <f t="shared" si="19"/>
        <v>10885997.071969697</v>
      </c>
      <c r="AL62" s="662">
        <f>+AI$29*AK62+AJ62</f>
        <v>2323174.8454916715</v>
      </c>
      <c r="AM62" s="661">
        <f>+AM61</f>
        <v>4157509.3380681803</v>
      </c>
      <c r="AN62" s="630">
        <f>+AN61</f>
        <v>110866.91568181818</v>
      </c>
      <c r="AO62" s="630">
        <f t="shared" si="16"/>
        <v>4046642.4223863622</v>
      </c>
      <c r="AP62" s="662">
        <f>+AM$29*AO62+AN62</f>
        <v>864595.12768840743</v>
      </c>
      <c r="AQ62" s="661">
        <f>+AQ61</f>
        <v>34161191.957045466</v>
      </c>
      <c r="AR62" s="630">
        <f>+AR61</f>
        <v>904932.23727272719</v>
      </c>
      <c r="AS62" s="630">
        <f t="shared" si="17"/>
        <v>33256259.719772737</v>
      </c>
      <c r="AT62" s="662">
        <f>+AQ$29*AS62+AR62</f>
        <v>7099248.0577027369</v>
      </c>
      <c r="AU62" s="776">
        <f>+AU61</f>
        <v>23125000</v>
      </c>
      <c r="AV62" s="775">
        <f>+AV61</f>
        <v>750000</v>
      </c>
      <c r="AW62" s="775">
        <f t="shared" si="1"/>
        <v>22375000</v>
      </c>
      <c r="AX62" s="757">
        <f>+AU$29*AW62+AV62</f>
        <v>750000</v>
      </c>
      <c r="AY62" s="776">
        <f>+AY61</f>
        <v>15083333.333333332</v>
      </c>
      <c r="AZ62" s="775">
        <f>+AZ61</f>
        <v>500000</v>
      </c>
      <c r="BA62" s="775">
        <f t="shared" si="2"/>
        <v>14583333.333333332</v>
      </c>
      <c r="BB62" s="757">
        <f>+AY$29*BA62+AZ62</f>
        <v>500000</v>
      </c>
      <c r="BC62" s="776">
        <f>+BC61</f>
        <v>23500000</v>
      </c>
      <c r="BD62" s="775">
        <f>+BD61</f>
        <v>750000</v>
      </c>
      <c r="BE62" s="775">
        <f t="shared" si="4"/>
        <v>22750000</v>
      </c>
      <c r="BF62" s="757">
        <f>+BC$29*BE62+BD62</f>
        <v>750000</v>
      </c>
      <c r="BG62" s="776">
        <f>+BG61</f>
        <v>15380952.380952384</v>
      </c>
      <c r="BH62" s="775">
        <f>+BH61</f>
        <v>571428.57142857148</v>
      </c>
      <c r="BI62" s="775">
        <f t="shared" si="5"/>
        <v>14809523.809523813</v>
      </c>
      <c r="BJ62" s="757">
        <f>+BG$29*BI62+BH62</f>
        <v>571428.57142857148</v>
      </c>
      <c r="BK62" s="776">
        <f>+BK61</f>
        <v>21200000</v>
      </c>
      <c r="BL62" s="775">
        <f>+BL61</f>
        <v>1200000</v>
      </c>
      <c r="BM62" s="775">
        <f t="shared" si="9"/>
        <v>20000000</v>
      </c>
      <c r="BN62" s="757">
        <f>+BK$29*BM62+BL62</f>
        <v>1200000</v>
      </c>
      <c r="BO62" s="776">
        <f>+BO61</f>
        <v>15166666.666666662</v>
      </c>
      <c r="BP62" s="775">
        <f>+BP61</f>
        <v>666666.66666666663</v>
      </c>
      <c r="BQ62" s="775">
        <f t="shared" si="10"/>
        <v>14499999.999999996</v>
      </c>
      <c r="BR62" s="757">
        <f>+BO$29*BQ62+BP62</f>
        <v>666666.66666666663</v>
      </c>
      <c r="BS62" s="661">
        <f>+BS61</f>
        <v>315813.68181818188</v>
      </c>
      <c r="BT62" s="630">
        <f>+BT61</f>
        <v>8310.886363636364</v>
      </c>
      <c r="BU62" s="630">
        <f t="shared" si="18"/>
        <v>307502.79545454553</v>
      </c>
      <c r="BV62" s="662">
        <f>+BS$29*BU62+BT62</f>
        <v>65586.402214207221</v>
      </c>
      <c r="BW62" s="661">
        <f>+BW61</f>
        <v>22064176.94318182</v>
      </c>
      <c r="BX62" s="630">
        <f>+BX61</f>
        <v>576841.22727272729</v>
      </c>
      <c r="BY62" s="630">
        <f t="shared" si="20"/>
        <v>21487335.715909094</v>
      </c>
      <c r="BZ62" s="662">
        <f>+BW$29*BY62+BX62</f>
        <v>4408173.5583225917</v>
      </c>
      <c r="CA62" s="661">
        <f>+CA61</f>
        <v>2082097.4400000004</v>
      </c>
      <c r="CB62" s="630">
        <f>+CB61</f>
        <v>54433.919999999998</v>
      </c>
      <c r="CC62" s="630">
        <f t="shared" si="21"/>
        <v>2027663.5200000005</v>
      </c>
      <c r="CD62" s="662">
        <f>+CA$29*CC62+CB62</f>
        <v>432106.82507949625</v>
      </c>
      <c r="CE62" s="661">
        <f>+CE61</f>
        <v>180732.36272727276</v>
      </c>
      <c r="CF62" s="630">
        <f>+CF61</f>
        <v>4725.0290909090909</v>
      </c>
      <c r="CG62" s="630">
        <f t="shared" si="22"/>
        <v>176007.33363636368</v>
      </c>
      <c r="CH62" s="662">
        <f>+CE$29*CG62+CF62</f>
        <v>37508.180907805021</v>
      </c>
      <c r="CI62" s="661">
        <f>+CI61</f>
        <v>485237.04545454541</v>
      </c>
      <c r="CJ62" s="630">
        <f>+CJ61</f>
        <v>12362.727272727272</v>
      </c>
      <c r="CK62" s="630">
        <f t="shared" si="24"/>
        <v>472874.31818181812</v>
      </c>
      <c r="CL62" s="662">
        <f>+CI$29*CK62+CJ62</f>
        <v>96679.307407497545</v>
      </c>
      <c r="CM62" s="661">
        <f>+CM61</f>
        <v>20919663.813352272</v>
      </c>
      <c r="CN62" s="630">
        <f>+CN61</f>
        <v>483691.64886363636</v>
      </c>
      <c r="CO62" s="630">
        <f t="shared" si="35"/>
        <v>20435972.164488636</v>
      </c>
      <c r="CP62" s="662">
        <f>+CM$29*CO62+CN62</f>
        <v>4127558.9903260665</v>
      </c>
      <c r="CQ62" s="661">
        <f>+CQ61</f>
        <v>88275948.438920453</v>
      </c>
      <c r="CR62" s="630">
        <f>+CR61</f>
        <v>2017735.9643181816</v>
      </c>
      <c r="CS62" s="630">
        <f t="shared" si="40"/>
        <v>86258212.474602267</v>
      </c>
      <c r="CT62" s="662">
        <f>+CQ$29*CS62+CR62</f>
        <v>17398138.757942528</v>
      </c>
      <c r="CU62" s="661">
        <f>+CU61</f>
        <v>29752596.390000001</v>
      </c>
      <c r="CV62" s="630">
        <f>+CV61</f>
        <v>676195.37250000006</v>
      </c>
      <c r="CW62" s="630">
        <f t="shared" si="41"/>
        <v>29076401.017500002</v>
      </c>
      <c r="CX62" s="662">
        <f>+CU$29*CW62+CV62</f>
        <v>5860707.6248234957</v>
      </c>
      <c r="CY62" s="782">
        <f t="shared" si="25"/>
        <v>31911373.479285106</v>
      </c>
      <c r="CZ62" s="779">
        <f>+CY62</f>
        <v>31911373.479285106</v>
      </c>
      <c r="DA62" s="752"/>
      <c r="DB62" s="1025">
        <f>+CZ62-DA61</f>
        <v>1017763.521980416</v>
      </c>
      <c r="DD62" s="661">
        <f>+DD61</f>
        <v>9106773.6333333347</v>
      </c>
      <c r="DE62" s="630">
        <f>+DE61</f>
        <v>1270712.6000000001</v>
      </c>
      <c r="DF62" s="630">
        <f t="shared" si="26"/>
        <v>7836061.0333333351</v>
      </c>
      <c r="DG62" s="662">
        <f t="shared" ref="DG62:DG76" si="42">+DD$29*DF62+DE62</f>
        <v>2863521.0069297701</v>
      </c>
      <c r="DH62" s="661">
        <f>+DH61</f>
        <v>7155235.1999999993</v>
      </c>
      <c r="DI62" s="630">
        <f>+DI61</f>
        <v>894404.4</v>
      </c>
      <c r="DJ62" s="630">
        <f t="shared" si="27"/>
        <v>6260830.7999999989</v>
      </c>
      <c r="DK62" s="662">
        <f t="shared" ref="DK62:DK76" si="43">+DH$29*DJ62+DI62</f>
        <v>2167021.3296262841</v>
      </c>
      <c r="DL62" s="661">
        <f>+DL61</f>
        <v>1111963.8454166665</v>
      </c>
      <c r="DM62" s="630">
        <f>+DM61</f>
        <v>140458.59099999999</v>
      </c>
      <c r="DN62" s="630">
        <f t="shared" si="28"/>
        <v>971505.25441666646</v>
      </c>
      <c r="DO62" s="662">
        <f t="shared" ref="DO62:DO76" si="44">+DL$29*DN62+DM62</f>
        <v>337933.0274584234</v>
      </c>
      <c r="DP62" s="661">
        <f>+DP61</f>
        <v>135682.40000000002</v>
      </c>
      <c r="DQ62" s="630">
        <f>+DQ61</f>
        <v>16960.3</v>
      </c>
      <c r="DR62" s="630">
        <f t="shared" si="29"/>
        <v>118722.10000000002</v>
      </c>
      <c r="DS62" s="662">
        <f t="shared" ref="DS62:DS76" si="45">+DP$29*DR62+DQ62</f>
        <v>41092.521298934429</v>
      </c>
      <c r="DT62" s="661">
        <f>+DT61</f>
        <v>10239.252333333334</v>
      </c>
      <c r="DU62" s="630">
        <f>+DU61</f>
        <v>1253.7860000000001</v>
      </c>
      <c r="DV62" s="630">
        <f t="shared" si="34"/>
        <v>8985.4663333333338</v>
      </c>
      <c r="DW62" s="662">
        <f t="shared" ref="DW62:DW74" si="46">+DT$29*DV62+DU62</f>
        <v>3080.2299563495335</v>
      </c>
      <c r="DX62" s="661">
        <f>+DX61</f>
        <v>33274394.834999997</v>
      </c>
      <c r="DY62" s="630">
        <f>+DY61</f>
        <v>4033259.9799999995</v>
      </c>
      <c r="DZ62" s="630">
        <f t="shared" si="30"/>
        <v>29241134.854999997</v>
      </c>
      <c r="EA62" s="662">
        <f t="shared" ref="EA62:EA74" si="47">+DX$29*DZ62+DY62</f>
        <v>9977002.0242600385</v>
      </c>
      <c r="EB62" s="661">
        <f>+EB61</f>
        <v>455374.51883333339</v>
      </c>
      <c r="EC62" s="630">
        <f>+EC61</f>
        <v>53053.342000000004</v>
      </c>
      <c r="ED62" s="630">
        <f t="shared" si="31"/>
        <v>402321.17683333339</v>
      </c>
      <c r="EE62" s="662">
        <f t="shared" ref="EE62:EE74" si="48">+EB$29*ED62+EC62</f>
        <v>134831.74444225576</v>
      </c>
      <c r="EF62" s="661">
        <f>+EF61</f>
        <v>-462699.12349999975</v>
      </c>
      <c r="EG62" s="630">
        <f>+EG61</f>
        <v>-53906.693999999974</v>
      </c>
      <c r="EH62" s="630">
        <f t="shared" si="32"/>
        <v>-408792.42949999979</v>
      </c>
      <c r="EI62" s="662">
        <f t="shared" ref="EI62:EI76" si="49">+EF$29*EH62+EG62</f>
        <v>-137000.48508037208</v>
      </c>
      <c r="EJ62" s="661">
        <f>+EJ61</f>
        <v>29393117.633833334</v>
      </c>
      <c r="EK62" s="630">
        <f>+EK61</f>
        <v>3327522.7509999997</v>
      </c>
      <c r="EL62" s="630">
        <f t="shared" si="33"/>
        <v>26065594.882833336</v>
      </c>
      <c r="EM62" s="662">
        <f t="shared" ref="EM62:EM76" si="50">+EJ$29*EL62+EK62</f>
        <v>8625784.0182864349</v>
      </c>
      <c r="EN62" s="661">
        <f>+EN61</f>
        <v>443921.41275000002</v>
      </c>
      <c r="EO62" s="630">
        <f>+EO61</f>
        <v>49785.578999999998</v>
      </c>
      <c r="EP62" s="630">
        <f t="shared" si="38"/>
        <v>394135.83374999999</v>
      </c>
      <c r="EQ62" s="662">
        <f t="shared" ref="EQ62:EQ76" si="51">+EN$29*EP62+EO62</f>
        <v>129900.1757085743</v>
      </c>
      <c r="ER62" s="661">
        <f>+ER61</f>
        <v>1668258.8145000001</v>
      </c>
      <c r="ES62" s="630">
        <f>+ES61</f>
        <v>175606.19100000002</v>
      </c>
      <c r="ET62" s="630">
        <f t="shared" si="39"/>
        <v>1492652.6235</v>
      </c>
      <c r="EU62" s="662">
        <f t="shared" ref="EU62:EU76" si="52">+ER$29*ET62+ES62</f>
        <v>479012.40966305474</v>
      </c>
      <c r="EW62" s="661"/>
      <c r="EX62" s="630"/>
      <c r="EY62" s="630"/>
      <c r="EZ62" s="662"/>
      <c r="FA62" s="661">
        <f>+FA61</f>
        <v>1159350.1399999999</v>
      </c>
      <c r="FB62" s="630">
        <f>+FB61</f>
        <v>1159350.1399999999</v>
      </c>
      <c r="FC62" s="630">
        <f>+FC61</f>
        <v>579675.06999999995</v>
      </c>
      <c r="FD62" s="662">
        <f>+FA$29*FC62+FB62</f>
        <v>1224311.9614601713</v>
      </c>
    </row>
    <row r="63" spans="1:161">
      <c r="A63" s="753" t="s">
        <v>24</v>
      </c>
      <c r="B63" s="774">
        <f t="shared" si="0"/>
        <v>2018</v>
      </c>
      <c r="C63" s="775">
        <f>+E62</f>
        <v>15491271.447159089</v>
      </c>
      <c r="D63" s="775">
        <f>+C$31</f>
        <v>445791.98409090913</v>
      </c>
      <c r="E63" s="775">
        <f t="shared" si="6"/>
        <v>15045479.46306818</v>
      </c>
      <c r="F63" s="757">
        <f>+C$28*E63+D63</f>
        <v>3128499.2617698461</v>
      </c>
      <c r="G63" s="775">
        <f>+I62</f>
        <v>3996505.8593181791</v>
      </c>
      <c r="H63" s="775">
        <f>+G$31</f>
        <v>115840.74954545456</v>
      </c>
      <c r="I63" s="775">
        <f t="shared" si="7"/>
        <v>3880665.1097727246</v>
      </c>
      <c r="J63" s="757">
        <f>+G$28*I63+H63</f>
        <v>807788.69030579482</v>
      </c>
      <c r="K63" s="776">
        <f>+M62</f>
        <v>10307916.938352268</v>
      </c>
      <c r="L63" s="775">
        <f>+K$31</f>
        <v>305419.76113636367</v>
      </c>
      <c r="M63" s="775">
        <f t="shared" si="8"/>
        <v>10002497.177215904</v>
      </c>
      <c r="N63" s="757">
        <f>+K$28*M63+L63</f>
        <v>2088930.352350716</v>
      </c>
      <c r="O63" s="776">
        <f>+Q62</f>
        <v>4275501.4015151504</v>
      </c>
      <c r="P63" s="775">
        <f>+O$31</f>
        <v>119316.31818181818</v>
      </c>
      <c r="Q63" s="775">
        <f t="shared" si="11"/>
        <v>4156185.0833333321</v>
      </c>
      <c r="R63" s="757">
        <f>+O$28*Q63+P63</f>
        <v>860391.27015049523</v>
      </c>
      <c r="S63" s="661">
        <f>+U62</f>
        <v>1992453.2696969681</v>
      </c>
      <c r="T63" s="630">
        <f>+S$31</f>
        <v>58315.705454545445</v>
      </c>
      <c r="U63" s="630">
        <f t="shared" si="12"/>
        <v>1934137.5642424226</v>
      </c>
      <c r="V63" s="662">
        <f>+S$28*U63+T63</f>
        <v>403185.06853214046</v>
      </c>
      <c r="W63" s="661">
        <f>+Y62</f>
        <v>24843021.155303031</v>
      </c>
      <c r="X63" s="630">
        <f>+W$31</f>
        <v>693293.61363636365</v>
      </c>
      <c r="Y63" s="630">
        <f t="shared" si="13"/>
        <v>24149727.541666668</v>
      </c>
      <c r="Z63" s="662">
        <f>+W$28*Y63+X63</f>
        <v>4999347.8001462081</v>
      </c>
      <c r="AA63" s="661">
        <f>+AC62</f>
        <v>16192429.19507575</v>
      </c>
      <c r="AB63" s="630">
        <f>+AA$31</f>
        <v>450833.29545454547</v>
      </c>
      <c r="AC63" s="630">
        <f t="shared" si="14"/>
        <v>15741595.899621205</v>
      </c>
      <c r="AD63" s="662">
        <f>+AA$28*AC63+AB63</f>
        <v>3257662.6813744847</v>
      </c>
      <c r="AE63" s="661">
        <f>+AG62</f>
        <v>163224.965909091</v>
      </c>
      <c r="AF63" s="630">
        <f>+AE$31</f>
        <v>4597.886363636364</v>
      </c>
      <c r="AG63" s="630">
        <f t="shared" si="15"/>
        <v>158627.07954545465</v>
      </c>
      <c r="AH63" s="662">
        <f>+AE$28*AG63+AF63</f>
        <v>32882.130928798637</v>
      </c>
      <c r="AI63" s="661">
        <f>+AK62</f>
        <v>10885997.071969697</v>
      </c>
      <c r="AJ63" s="630">
        <f>+AI$31</f>
        <v>295547.43181818182</v>
      </c>
      <c r="AK63" s="630">
        <f t="shared" si="19"/>
        <v>10590449.640151516</v>
      </c>
      <c r="AL63" s="662">
        <f>+AI$28*AK63+AJ63</f>
        <v>2183893.7881617476</v>
      </c>
      <c r="AM63" s="661">
        <f>+AO62</f>
        <v>4046642.4223863622</v>
      </c>
      <c r="AN63" s="630">
        <f>+AM$31</f>
        <v>110866.91568181818</v>
      </c>
      <c r="AO63" s="630">
        <f t="shared" si="16"/>
        <v>3935775.5067045442</v>
      </c>
      <c r="AP63" s="662">
        <f>+AM$28*AO63+AN63</f>
        <v>812641.40024142258</v>
      </c>
      <c r="AQ63" s="661">
        <f>+AS62</f>
        <v>33256259.719772737</v>
      </c>
      <c r="AR63" s="630">
        <f>+AQ$31</f>
        <v>904932.23727272719</v>
      </c>
      <c r="AS63" s="630">
        <f t="shared" si="17"/>
        <v>32351327.482500009</v>
      </c>
      <c r="AT63" s="662">
        <f>+AQ$28*AS63+AR63</f>
        <v>6673385.2728118626</v>
      </c>
      <c r="AU63" s="776">
        <f>+AW62</f>
        <v>22375000</v>
      </c>
      <c r="AV63" s="775">
        <f>+AU$31</f>
        <v>750000</v>
      </c>
      <c r="AW63" s="775">
        <f t="shared" si="1"/>
        <v>21625000</v>
      </c>
      <c r="AX63" s="757">
        <f>+AU$28*AW63+AV63</f>
        <v>750000</v>
      </c>
      <c r="AY63" s="776">
        <f>+BA62</f>
        <v>14583333.333333332</v>
      </c>
      <c r="AZ63" s="775">
        <f>+AY$31</f>
        <v>500000</v>
      </c>
      <c r="BA63" s="775">
        <f t="shared" si="2"/>
        <v>14083333.333333332</v>
      </c>
      <c r="BB63" s="757">
        <f>+AY$28*BA63+AZ63</f>
        <v>500000</v>
      </c>
      <c r="BC63" s="776">
        <f>+BE62</f>
        <v>22750000</v>
      </c>
      <c r="BD63" s="775">
        <f>+BC$31</f>
        <v>750000</v>
      </c>
      <c r="BE63" s="775">
        <f t="shared" si="4"/>
        <v>22000000</v>
      </c>
      <c r="BF63" s="757">
        <f>+BC$28*BE63+BD63</f>
        <v>750000</v>
      </c>
      <c r="BG63" s="776">
        <f>+BI62</f>
        <v>14809523.809523813</v>
      </c>
      <c r="BH63" s="775">
        <f>+BG$31</f>
        <v>571428.57142857148</v>
      </c>
      <c r="BI63" s="775">
        <f t="shared" si="5"/>
        <v>14238095.238095243</v>
      </c>
      <c r="BJ63" s="757">
        <f>+BG$28*BI63+BH63</f>
        <v>571428.57142857148</v>
      </c>
      <c r="BK63" s="776">
        <f>+BM62</f>
        <v>20000000</v>
      </c>
      <c r="BL63" s="775">
        <f>+BK$31</f>
        <v>1200000</v>
      </c>
      <c r="BM63" s="775">
        <f t="shared" si="9"/>
        <v>18800000</v>
      </c>
      <c r="BN63" s="757">
        <f>+BK$28*BM63+BL63</f>
        <v>1200000</v>
      </c>
      <c r="BO63" s="776">
        <f>+BQ62</f>
        <v>14499999.999999996</v>
      </c>
      <c r="BP63" s="775">
        <f>+BO$31</f>
        <v>666666.66666666663</v>
      </c>
      <c r="BQ63" s="775">
        <f t="shared" si="10"/>
        <v>13833333.33333333</v>
      </c>
      <c r="BR63" s="757">
        <f>+BO$28*BQ63+BP63</f>
        <v>666666.66666666663</v>
      </c>
      <c r="BS63" s="661">
        <f>+BU62</f>
        <v>307502.79545454553</v>
      </c>
      <c r="BT63" s="630">
        <f>+BS$31</f>
        <v>8310.886363636364</v>
      </c>
      <c r="BU63" s="630">
        <f t="shared" si="18"/>
        <v>299191.90909090918</v>
      </c>
      <c r="BV63" s="662">
        <f>+BS$28*BU63+BT63</f>
        <v>61658.758321527159</v>
      </c>
      <c r="BW63" s="661">
        <f>+BY62</f>
        <v>21487335.715909094</v>
      </c>
      <c r="BX63" s="630">
        <f>+BW$31</f>
        <v>576841.22727272729</v>
      </c>
      <c r="BY63" s="630">
        <f t="shared" si="20"/>
        <v>20910494.488636367</v>
      </c>
      <c r="BZ63" s="662">
        <f>+BW$28*BY63+BX63</f>
        <v>4305318.9990997771</v>
      </c>
      <c r="CA63" s="661">
        <f>+CC62</f>
        <v>2027663.5200000005</v>
      </c>
      <c r="CB63" s="630">
        <f>+CA$31</f>
        <v>54433.919999999998</v>
      </c>
      <c r="CC63" s="630">
        <f t="shared" si="21"/>
        <v>1973229.6000000006</v>
      </c>
      <c r="CD63" s="662">
        <f>+CA$28*CC63+CB63</f>
        <v>406273.64843441645</v>
      </c>
      <c r="CE63" s="661">
        <f>+CG62</f>
        <v>176007.33363636368</v>
      </c>
      <c r="CF63" s="630">
        <f>+CE$31</f>
        <v>4725.0290909090909</v>
      </c>
      <c r="CG63" s="630">
        <f t="shared" si="22"/>
        <v>171282.30454545459</v>
      </c>
      <c r="CH63" s="662">
        <f>+CE$28*CG63+CF63</f>
        <v>35265.782947882326</v>
      </c>
      <c r="CI63" s="661">
        <f>+CK62</f>
        <v>472874.31818181812</v>
      </c>
      <c r="CJ63" s="630">
        <f>+CI$31</f>
        <v>12362.727272727272</v>
      </c>
      <c r="CK63" s="630">
        <f t="shared" si="24"/>
        <v>460511.59090909082</v>
      </c>
      <c r="CL63" s="662">
        <f>+CI$28*CK63+CJ63</f>
        <v>94474.952371294406</v>
      </c>
      <c r="CM63" s="661">
        <f>+CO62</f>
        <v>20435972.164488636</v>
      </c>
      <c r="CN63" s="630">
        <f>+CM$31</f>
        <v>483691.64886363636</v>
      </c>
      <c r="CO63" s="630">
        <f t="shared" si="35"/>
        <v>19952280.515625</v>
      </c>
      <c r="CP63" s="662">
        <f>+CM$28*CO63+CN63</f>
        <v>4041313.6094630505</v>
      </c>
      <c r="CQ63" s="661">
        <f>+CS62</f>
        <v>86258212.474602267</v>
      </c>
      <c r="CR63" s="630">
        <f>+CQ$31</f>
        <v>2017735.9643181816</v>
      </c>
      <c r="CS63" s="630">
        <f t="shared" si="40"/>
        <v>84240476.510284081</v>
      </c>
      <c r="CT63" s="662">
        <f>+CQ$28*CS63+CR63</f>
        <v>17038363.253998097</v>
      </c>
      <c r="CU63" s="661">
        <f>+CW62</f>
        <v>29076401.017500002</v>
      </c>
      <c r="CV63" s="630">
        <f>+CU$31</f>
        <v>676195.37250000006</v>
      </c>
      <c r="CW63" s="630">
        <f t="shared" si="41"/>
        <v>28400205.645000003</v>
      </c>
      <c r="CX63" s="662">
        <f>+CU$28*CW63+CV63</f>
        <v>5740137.5724438783</v>
      </c>
      <c r="CY63" s="782">
        <f t="shared" si="25"/>
        <v>30151599.857948419</v>
      </c>
      <c r="CZ63" s="756"/>
      <c r="DA63" s="778">
        <f>+CY63</f>
        <v>30151599.857948419</v>
      </c>
      <c r="DD63" s="661">
        <f>+DF62</f>
        <v>7836061.0333333351</v>
      </c>
      <c r="DE63" s="630">
        <f>+DE62</f>
        <v>1270712.6000000001</v>
      </c>
      <c r="DF63" s="630">
        <f t="shared" si="26"/>
        <v>6565348.4333333354</v>
      </c>
      <c r="DG63" s="662">
        <f t="shared" si="42"/>
        <v>2605227.7517519696</v>
      </c>
      <c r="DH63" s="661">
        <f>+DJ62</f>
        <v>6260830.7999999989</v>
      </c>
      <c r="DI63" s="630">
        <f>+DI62</f>
        <v>894404.4</v>
      </c>
      <c r="DJ63" s="630">
        <f t="shared" si="27"/>
        <v>5366426.3999999985</v>
      </c>
      <c r="DK63" s="662">
        <f t="shared" si="43"/>
        <v>1985218.9111082433</v>
      </c>
      <c r="DL63" s="661">
        <f>+DN62</f>
        <v>971505.25441666646</v>
      </c>
      <c r="DM63" s="630">
        <f>+DM62</f>
        <v>140458.59099999999</v>
      </c>
      <c r="DN63" s="630">
        <f t="shared" si="28"/>
        <v>831046.66341666644</v>
      </c>
      <c r="DO63" s="662">
        <f t="shared" si="44"/>
        <v>309382.50652467541</v>
      </c>
      <c r="DP63" s="661">
        <f>+DR62</f>
        <v>118722.10000000002</v>
      </c>
      <c r="DQ63" s="630">
        <f>+DQ62</f>
        <v>16960.3</v>
      </c>
      <c r="DR63" s="630">
        <f t="shared" si="29"/>
        <v>101761.80000000002</v>
      </c>
      <c r="DS63" s="662">
        <f t="shared" si="45"/>
        <v>37645.061113372372</v>
      </c>
      <c r="DT63" s="661">
        <f>+DV62</f>
        <v>8985.4663333333338</v>
      </c>
      <c r="DU63" s="630">
        <f>+DU62</f>
        <v>1253.7860000000001</v>
      </c>
      <c r="DV63" s="630">
        <f t="shared" si="34"/>
        <v>7731.6803333333337</v>
      </c>
      <c r="DW63" s="662">
        <f t="shared" si="46"/>
        <v>2825.3773112775052</v>
      </c>
      <c r="DX63" s="661">
        <f>+DZ62</f>
        <v>29241134.854999997</v>
      </c>
      <c r="DY63" s="630">
        <f>+DY62</f>
        <v>4033259.9799999995</v>
      </c>
      <c r="DZ63" s="630">
        <f t="shared" si="30"/>
        <v>25207874.874999996</v>
      </c>
      <c r="EA63" s="662">
        <f t="shared" si="47"/>
        <v>9157175.5353965834</v>
      </c>
      <c r="EB63" s="661">
        <f>+ED62</f>
        <v>402321.17683333339</v>
      </c>
      <c r="EC63" s="630">
        <f>+EC62</f>
        <v>53053.342000000004</v>
      </c>
      <c r="ED63" s="630">
        <f t="shared" si="31"/>
        <v>349267.83483333339</v>
      </c>
      <c r="EE63" s="662">
        <f t="shared" si="48"/>
        <v>124047.77928503523</v>
      </c>
      <c r="EF63" s="661">
        <f>+EH62</f>
        <v>-408792.42949999979</v>
      </c>
      <c r="EG63" s="630">
        <f>+EG62</f>
        <v>-53906.693999999974</v>
      </c>
      <c r="EH63" s="630">
        <f t="shared" si="32"/>
        <v>-354885.73549999984</v>
      </c>
      <c r="EI63" s="662">
        <f t="shared" si="49"/>
        <v>-126043.06208076258</v>
      </c>
      <c r="EJ63" s="661">
        <f>+EL62</f>
        <v>26065594.882833336</v>
      </c>
      <c r="EK63" s="630">
        <f>+EK62</f>
        <v>3327522.7509999997</v>
      </c>
      <c r="EL63" s="630">
        <f t="shared" si="33"/>
        <v>22738072.131833337</v>
      </c>
      <c r="EM63" s="662">
        <f t="shared" si="50"/>
        <v>7949410.2394839115</v>
      </c>
      <c r="EN63" s="661">
        <f>+EP62</f>
        <v>394135.83374999999</v>
      </c>
      <c r="EO63" s="630">
        <f>+EO62</f>
        <v>49785.578999999998</v>
      </c>
      <c r="EP63" s="630">
        <f t="shared" si="38"/>
        <v>344350.25474999996</v>
      </c>
      <c r="EQ63" s="662">
        <f t="shared" si="51"/>
        <v>119780.4371769649</v>
      </c>
      <c r="ER63" s="661">
        <f>+ET62</f>
        <v>1492652.6235</v>
      </c>
      <c r="ES63" s="630">
        <f>+ES62</f>
        <v>175606.19100000002</v>
      </c>
      <c r="ET63" s="630">
        <f t="shared" si="39"/>
        <v>1317046.4324999999</v>
      </c>
      <c r="EU63" s="662">
        <f t="shared" si="52"/>
        <v>443317.56040857767</v>
      </c>
      <c r="EW63" s="661"/>
      <c r="EX63" s="630"/>
      <c r="EY63" s="630"/>
      <c r="EZ63" s="662"/>
      <c r="FA63" s="661"/>
      <c r="FB63" s="630"/>
      <c r="FC63" s="630"/>
      <c r="FD63" s="662"/>
    </row>
    <row r="64" spans="1:161">
      <c r="A64" s="753" t="s">
        <v>23</v>
      </c>
      <c r="B64" s="774">
        <f t="shared" si="0"/>
        <v>2018</v>
      </c>
      <c r="C64" s="775">
        <f>+C63</f>
        <v>15491271.447159089</v>
      </c>
      <c r="D64" s="775">
        <f>+D63</f>
        <v>445791.98409090913</v>
      </c>
      <c r="E64" s="775">
        <f t="shared" si="6"/>
        <v>15045479.46306818</v>
      </c>
      <c r="F64" s="757">
        <f>+C$29*E64+D64</f>
        <v>3248165.1989184152</v>
      </c>
      <c r="G64" s="775">
        <f>+G63</f>
        <v>3996505.8593181791</v>
      </c>
      <c r="H64" s="775">
        <f>+H63</f>
        <v>115840.74954545456</v>
      </c>
      <c r="I64" s="775">
        <f t="shared" si="7"/>
        <v>3880665.1097727246</v>
      </c>
      <c r="J64" s="757">
        <f>+G$29*I64+H64</f>
        <v>838654.00292415451</v>
      </c>
      <c r="K64" s="776">
        <f>+K63</f>
        <v>10307916.938352268</v>
      </c>
      <c r="L64" s="775">
        <f>+L63</f>
        <v>305419.76113636367</v>
      </c>
      <c r="M64" s="775">
        <f t="shared" si="8"/>
        <v>10002497.177215904</v>
      </c>
      <c r="N64" s="757">
        <f>+K$29*M64+L64</f>
        <v>2168486.354635363</v>
      </c>
      <c r="O64" s="776">
        <f>+O63</f>
        <v>4275501.4015151504</v>
      </c>
      <c r="P64" s="775">
        <f>+P63</f>
        <v>119316.31818181818</v>
      </c>
      <c r="Q64" s="775">
        <f t="shared" si="11"/>
        <v>4156185.0833333321</v>
      </c>
      <c r="R64" s="757">
        <f>+O$29*Q64+P64</f>
        <v>893447.9623071549</v>
      </c>
      <c r="S64" s="661">
        <f>+S63</f>
        <v>1992453.2696969681</v>
      </c>
      <c r="T64" s="630">
        <f>+T63</f>
        <v>58315.705454545445</v>
      </c>
      <c r="U64" s="630">
        <f t="shared" si="12"/>
        <v>1934137.5642424226</v>
      </c>
      <c r="V64" s="662">
        <f>+S$29*U64+T64</f>
        <v>418568.45227657061</v>
      </c>
      <c r="W64" s="661">
        <f>+W63</f>
        <v>24843021.155303031</v>
      </c>
      <c r="X64" s="630">
        <f>+X63</f>
        <v>693293.61363636365</v>
      </c>
      <c r="Y64" s="630">
        <f t="shared" si="13"/>
        <v>24149727.541666668</v>
      </c>
      <c r="Z64" s="662">
        <f>+W$29*Y64+X64</f>
        <v>5191425.4129102239</v>
      </c>
      <c r="AA64" s="661">
        <f>+AA63</f>
        <v>16192429.19507575</v>
      </c>
      <c r="AB64" s="630">
        <f>+AB63</f>
        <v>450833.29545454547</v>
      </c>
      <c r="AC64" s="630">
        <f t="shared" si="14"/>
        <v>15741595.899621205</v>
      </c>
      <c r="AD64" s="662">
        <f>+AA$29*AC64+AB64</f>
        <v>3382865.2600072366</v>
      </c>
      <c r="AE64" s="661">
        <f>+AE63</f>
        <v>163224.965909091</v>
      </c>
      <c r="AF64" s="630">
        <f>+AF63</f>
        <v>4597.886363636364</v>
      </c>
      <c r="AG64" s="630">
        <f t="shared" si="15"/>
        <v>158627.07954545465</v>
      </c>
      <c r="AH64" s="662">
        <f>+AE$29*AG64+AF64</f>
        <v>34143.789500567174</v>
      </c>
      <c r="AI64" s="661">
        <f>+AI63</f>
        <v>10885997.071969697</v>
      </c>
      <c r="AJ64" s="630">
        <f>+AJ63</f>
        <v>295547.43181818182</v>
      </c>
      <c r="AK64" s="630">
        <f t="shared" si="19"/>
        <v>10590449.640151516</v>
      </c>
      <c r="AL64" s="662">
        <f>+AI$29*AK64+AJ64</f>
        <v>2268126.1374281379</v>
      </c>
      <c r="AM64" s="661">
        <f>+AM63</f>
        <v>4046642.4223863622</v>
      </c>
      <c r="AN64" s="630">
        <f>+AN63</f>
        <v>110866.91568181818</v>
      </c>
      <c r="AO64" s="630">
        <f t="shared" si="16"/>
        <v>3935775.5067045442</v>
      </c>
      <c r="AP64" s="662">
        <f>+AM$29*AO64+AN64</f>
        <v>843945.03968822688</v>
      </c>
      <c r="AQ64" s="661">
        <f>+AQ63</f>
        <v>33256259.719772737</v>
      </c>
      <c r="AR64" s="630">
        <f>+AR63</f>
        <v>904932.23727272719</v>
      </c>
      <c r="AS64" s="630">
        <f t="shared" si="17"/>
        <v>32351327.482500009</v>
      </c>
      <c r="AT64" s="662">
        <f>+AQ$29*AS64+AR64</f>
        <v>6930695.2462624637</v>
      </c>
      <c r="AU64" s="776">
        <f>+AU63</f>
        <v>22375000</v>
      </c>
      <c r="AV64" s="775">
        <f>+AV63</f>
        <v>750000</v>
      </c>
      <c r="AW64" s="775">
        <f t="shared" si="1"/>
        <v>21625000</v>
      </c>
      <c r="AX64" s="757">
        <f>+AU$29*AW64+AV64</f>
        <v>750000</v>
      </c>
      <c r="AY64" s="776">
        <f>+AY63</f>
        <v>14583333.333333332</v>
      </c>
      <c r="AZ64" s="775">
        <f>+AZ63</f>
        <v>500000</v>
      </c>
      <c r="BA64" s="775">
        <f t="shared" si="2"/>
        <v>14083333.333333332</v>
      </c>
      <c r="BB64" s="757">
        <f>+AY$29*BA64+AZ64</f>
        <v>500000</v>
      </c>
      <c r="BC64" s="776">
        <f>+BC63</f>
        <v>22750000</v>
      </c>
      <c r="BD64" s="775">
        <f>+BD63</f>
        <v>750000</v>
      </c>
      <c r="BE64" s="775">
        <f t="shared" si="4"/>
        <v>22000000</v>
      </c>
      <c r="BF64" s="757">
        <f>+BC$29*BE64+BD64</f>
        <v>750000</v>
      </c>
      <c r="BG64" s="776">
        <f>+BG63</f>
        <v>14809523.809523813</v>
      </c>
      <c r="BH64" s="775">
        <f>+BH63</f>
        <v>571428.57142857148</v>
      </c>
      <c r="BI64" s="775">
        <f t="shared" si="5"/>
        <v>14238095.238095243</v>
      </c>
      <c r="BJ64" s="757">
        <f>+BG$29*BI64+BH64</f>
        <v>571428.57142857148</v>
      </c>
      <c r="BK64" s="776">
        <f>+BK63</f>
        <v>20000000</v>
      </c>
      <c r="BL64" s="775">
        <f>+BL63</f>
        <v>1200000</v>
      </c>
      <c r="BM64" s="775">
        <f t="shared" si="9"/>
        <v>18800000</v>
      </c>
      <c r="BN64" s="757">
        <f>+BK$29*BM64+BL64</f>
        <v>1200000</v>
      </c>
      <c r="BO64" s="776">
        <f>+BO63</f>
        <v>14499999.999999996</v>
      </c>
      <c r="BP64" s="775">
        <f>+BP63</f>
        <v>666666.66666666663</v>
      </c>
      <c r="BQ64" s="775">
        <f t="shared" si="10"/>
        <v>13833333.33333333</v>
      </c>
      <c r="BR64" s="757">
        <f>+BO$29*BQ64+BP64</f>
        <v>666666.66666666663</v>
      </c>
      <c r="BS64" s="661">
        <f>+BS63</f>
        <v>307502.79545454553</v>
      </c>
      <c r="BT64" s="630">
        <f>+BT63</f>
        <v>8310.886363636364</v>
      </c>
      <c r="BU64" s="630">
        <f t="shared" si="18"/>
        <v>299191.90909090918</v>
      </c>
      <c r="BV64" s="662">
        <f>+BS$29*BU64+BT64</f>
        <v>64038.415299326924</v>
      </c>
      <c r="BW64" s="661">
        <f>+BW63</f>
        <v>21487335.715909094</v>
      </c>
      <c r="BX64" s="630">
        <f>+BX63</f>
        <v>576841.22727272729</v>
      </c>
      <c r="BY64" s="630">
        <f t="shared" si="20"/>
        <v>20910494.488636367</v>
      </c>
      <c r="BZ64" s="662">
        <f>+BW$29*BY64+BX64</f>
        <v>4305318.9990997771</v>
      </c>
      <c r="CA64" s="661">
        <f>+CA63</f>
        <v>2027663.5200000005</v>
      </c>
      <c r="CB64" s="630">
        <f>+CB63</f>
        <v>54433.919999999998</v>
      </c>
      <c r="CC64" s="630">
        <f t="shared" si="21"/>
        <v>1973229.6000000006</v>
      </c>
      <c r="CD64" s="662">
        <f>+CA$29*CC64+CB64</f>
        <v>421967.9551444762</v>
      </c>
      <c r="CE64" s="661">
        <f>+CE63</f>
        <v>176007.33363636368</v>
      </c>
      <c r="CF64" s="630">
        <f>+CF63</f>
        <v>4725.0290909090909</v>
      </c>
      <c r="CG64" s="630">
        <f t="shared" si="22"/>
        <v>171282.30454545459</v>
      </c>
      <c r="CH64" s="662">
        <f>+CE$29*CG64+CF64</f>
        <v>36628.096295270901</v>
      </c>
      <c r="CI64" s="661">
        <f>+CI63</f>
        <v>472874.31818181812</v>
      </c>
      <c r="CJ64" s="630">
        <f>+CJ63</f>
        <v>12362.727272727272</v>
      </c>
      <c r="CK64" s="630">
        <f t="shared" si="24"/>
        <v>460511.59090909082</v>
      </c>
      <c r="CL64" s="662">
        <f>+CI$29*CK64+CJ64</f>
        <v>94474.952371294406</v>
      </c>
      <c r="CM64" s="661">
        <f>+CM63</f>
        <v>20435972.164488636</v>
      </c>
      <c r="CN64" s="630">
        <f>+CN63</f>
        <v>483691.64886363636</v>
      </c>
      <c r="CO64" s="630">
        <f t="shared" si="35"/>
        <v>19952280.515625</v>
      </c>
      <c r="CP64" s="662">
        <f>+CM$29*CO64+CN64</f>
        <v>4041313.6094630505</v>
      </c>
      <c r="CQ64" s="661">
        <f>+CQ63</f>
        <v>86258212.474602267</v>
      </c>
      <c r="CR64" s="630">
        <f>+CR63</f>
        <v>2017735.9643181816</v>
      </c>
      <c r="CS64" s="630">
        <f t="shared" si="40"/>
        <v>84240476.510284081</v>
      </c>
      <c r="CT64" s="662">
        <f>+CQ$29*CS64+CR64</f>
        <v>17038363.253998097</v>
      </c>
      <c r="CU64" s="661">
        <f>+CU63</f>
        <v>29076401.017500002</v>
      </c>
      <c r="CV64" s="630">
        <f>+CV63</f>
        <v>676195.37250000006</v>
      </c>
      <c r="CW64" s="630">
        <f t="shared" si="41"/>
        <v>28400205.645000003</v>
      </c>
      <c r="CX64" s="662">
        <f>+CU$29*CW64+CV64</f>
        <v>5740137.5724438783</v>
      </c>
      <c r="CY64" s="782">
        <f t="shared" si="25"/>
        <v>31140951.275068659</v>
      </c>
      <c r="CZ64" s="779">
        <f>+CY64</f>
        <v>31140951.275068659</v>
      </c>
      <c r="DA64" s="752"/>
      <c r="DB64" s="781"/>
      <c r="DD64" s="661">
        <f>+DD63</f>
        <v>7836061.0333333351</v>
      </c>
      <c r="DE64" s="630">
        <f>+DE63</f>
        <v>1270712.6000000001</v>
      </c>
      <c r="DF64" s="630">
        <f t="shared" si="26"/>
        <v>6565348.4333333354</v>
      </c>
      <c r="DG64" s="662">
        <f t="shared" si="42"/>
        <v>2605227.7517519696</v>
      </c>
      <c r="DH64" s="661">
        <f>+DH63</f>
        <v>6260830.7999999989</v>
      </c>
      <c r="DI64" s="630">
        <f>+DI63</f>
        <v>894404.4</v>
      </c>
      <c r="DJ64" s="630">
        <f t="shared" si="27"/>
        <v>5366426.3999999985</v>
      </c>
      <c r="DK64" s="662">
        <f t="shared" si="43"/>
        <v>1985218.9111082433</v>
      </c>
      <c r="DL64" s="661">
        <f>+DL63</f>
        <v>971505.25441666646</v>
      </c>
      <c r="DM64" s="630">
        <f>+DM63</f>
        <v>140458.59099999999</v>
      </c>
      <c r="DN64" s="630">
        <f t="shared" si="28"/>
        <v>831046.66341666644</v>
      </c>
      <c r="DO64" s="662">
        <f t="shared" si="44"/>
        <v>309382.50652467541</v>
      </c>
      <c r="DP64" s="661">
        <f>+DP63</f>
        <v>118722.10000000002</v>
      </c>
      <c r="DQ64" s="630">
        <f>+DQ63</f>
        <v>16960.3</v>
      </c>
      <c r="DR64" s="630">
        <f t="shared" si="29"/>
        <v>101761.80000000002</v>
      </c>
      <c r="DS64" s="662">
        <f t="shared" si="45"/>
        <v>37645.061113372372</v>
      </c>
      <c r="DT64" s="661">
        <f>+DT63</f>
        <v>8985.4663333333338</v>
      </c>
      <c r="DU64" s="630">
        <f>+DU63</f>
        <v>1253.7860000000001</v>
      </c>
      <c r="DV64" s="630">
        <f t="shared" si="34"/>
        <v>7731.6803333333337</v>
      </c>
      <c r="DW64" s="662">
        <f t="shared" si="46"/>
        <v>2825.3773112775052</v>
      </c>
      <c r="DX64" s="661">
        <f>+DX63</f>
        <v>29241134.854999997</v>
      </c>
      <c r="DY64" s="630">
        <f>+DY63</f>
        <v>4033259.9799999995</v>
      </c>
      <c r="DZ64" s="630">
        <f t="shared" si="30"/>
        <v>25207874.874999996</v>
      </c>
      <c r="EA64" s="662">
        <f t="shared" si="47"/>
        <v>9157175.5353965834</v>
      </c>
      <c r="EB64" s="661">
        <f>+EB63</f>
        <v>402321.17683333339</v>
      </c>
      <c r="EC64" s="630">
        <f>+EC63</f>
        <v>53053.342000000004</v>
      </c>
      <c r="ED64" s="630">
        <f t="shared" si="31"/>
        <v>349267.83483333339</v>
      </c>
      <c r="EE64" s="662">
        <f t="shared" si="48"/>
        <v>124047.77928503523</v>
      </c>
      <c r="EF64" s="661">
        <f>+EF63</f>
        <v>-408792.42949999979</v>
      </c>
      <c r="EG64" s="630">
        <f>+EG63</f>
        <v>-53906.693999999974</v>
      </c>
      <c r="EH64" s="630">
        <f t="shared" si="32"/>
        <v>-354885.73549999984</v>
      </c>
      <c r="EI64" s="662">
        <f t="shared" si="49"/>
        <v>-126043.06208076258</v>
      </c>
      <c r="EJ64" s="661">
        <f>+EJ63</f>
        <v>26065594.882833336</v>
      </c>
      <c r="EK64" s="630">
        <f>+EK63</f>
        <v>3327522.7509999997</v>
      </c>
      <c r="EL64" s="630">
        <f t="shared" si="33"/>
        <v>22738072.131833337</v>
      </c>
      <c r="EM64" s="662">
        <f t="shared" si="50"/>
        <v>7949410.2394839115</v>
      </c>
      <c r="EN64" s="661">
        <f>+EN63</f>
        <v>394135.83374999999</v>
      </c>
      <c r="EO64" s="630">
        <f>+EO63</f>
        <v>49785.578999999998</v>
      </c>
      <c r="EP64" s="630">
        <f t="shared" si="38"/>
        <v>344350.25474999996</v>
      </c>
      <c r="EQ64" s="662">
        <f t="shared" si="51"/>
        <v>119780.4371769649</v>
      </c>
      <c r="ER64" s="661">
        <f>+ER63</f>
        <v>1492652.6235</v>
      </c>
      <c r="ES64" s="630">
        <f>+ES63</f>
        <v>175606.19100000002</v>
      </c>
      <c r="ET64" s="630">
        <f t="shared" si="39"/>
        <v>1317046.4324999999</v>
      </c>
      <c r="EU64" s="662">
        <f t="shared" si="52"/>
        <v>443317.56040857767</v>
      </c>
      <c r="EW64" s="661"/>
      <c r="EX64" s="630"/>
      <c r="EY64" s="630"/>
      <c r="EZ64" s="662"/>
      <c r="FA64" s="661"/>
      <c r="FB64" s="630"/>
      <c r="FC64" s="630"/>
      <c r="FD64" s="662"/>
    </row>
    <row r="65" spans="1:160" ht="12.75" customHeight="1">
      <c r="A65" s="753" t="s">
        <v>24</v>
      </c>
      <c r="B65" s="774">
        <f t="shared" si="0"/>
        <v>2019</v>
      </c>
      <c r="C65" s="775">
        <f>+E64</f>
        <v>15045479.46306818</v>
      </c>
      <c r="D65" s="775">
        <f>+C$31</f>
        <v>445791.98409090913</v>
      </c>
      <c r="E65" s="775">
        <f t="shared" si="6"/>
        <v>14599687.47897727</v>
      </c>
      <c r="F65" s="757">
        <f>+C$28*E65+D65</f>
        <v>3049011.6387275066</v>
      </c>
      <c r="G65" s="775">
        <f>+I64</f>
        <v>3880665.1097727246</v>
      </c>
      <c r="H65" s="775">
        <f>+G$31</f>
        <v>115840.74954545456</v>
      </c>
      <c r="I65" s="775">
        <f t="shared" si="7"/>
        <v>3764824.3602272701</v>
      </c>
      <c r="J65" s="757">
        <f>+G$28*I65+H65</f>
        <v>787133.52789503837</v>
      </c>
      <c r="K65" s="776">
        <f>+M64</f>
        <v>10002497.177215904</v>
      </c>
      <c r="L65" s="775">
        <f>+K$31</f>
        <v>305419.76113636367</v>
      </c>
      <c r="M65" s="775">
        <f t="shared" si="8"/>
        <v>9697077.4160795398</v>
      </c>
      <c r="N65" s="757">
        <f>+K$28*M65+L65</f>
        <v>2034472.0136876823</v>
      </c>
      <c r="O65" s="776">
        <f>+Q64</f>
        <v>4156185.0833333321</v>
      </c>
      <c r="P65" s="775">
        <f>+O$31</f>
        <v>119316.31818181818</v>
      </c>
      <c r="Q65" s="775">
        <f t="shared" si="11"/>
        <v>4036868.7651515137</v>
      </c>
      <c r="R65" s="757">
        <f>+O$28*Q65+P65</f>
        <v>839116.39114660979</v>
      </c>
      <c r="S65" s="661">
        <f>+U64</f>
        <v>1934137.5642424226</v>
      </c>
      <c r="T65" s="630">
        <f>+S$31</f>
        <v>58315.705454545445</v>
      </c>
      <c r="U65" s="630">
        <f t="shared" si="12"/>
        <v>1875821.858787877</v>
      </c>
      <c r="V65" s="662">
        <f>+S$28*U65+T65</f>
        <v>392786.99728356971</v>
      </c>
      <c r="W65" s="661">
        <f>+Y64</f>
        <v>24149727.541666668</v>
      </c>
      <c r="X65" s="630">
        <f>+W$31</f>
        <v>693293.61363636365</v>
      </c>
      <c r="Y65" s="630">
        <f t="shared" si="13"/>
        <v>23456433.928030305</v>
      </c>
      <c r="Z65" s="662">
        <f>+W$28*Y65+X65</f>
        <v>4875729.0196722411</v>
      </c>
      <c r="AA65" s="661">
        <f>+AC64</f>
        <v>15741595.899621205</v>
      </c>
      <c r="AB65" s="630">
        <f>+AA$31</f>
        <v>450833.29545454547</v>
      </c>
      <c r="AC65" s="630">
        <f t="shared" si="14"/>
        <v>15290762.60416666</v>
      </c>
      <c r="AD65" s="662">
        <f>+AA$28*AC65+AB65</f>
        <v>3177276.1595820282</v>
      </c>
      <c r="AE65" s="661">
        <f>+AG64</f>
        <v>158627.07954545465</v>
      </c>
      <c r="AF65" s="630">
        <f>+AE$31</f>
        <v>4597.886363636364</v>
      </c>
      <c r="AG65" s="630">
        <f t="shared" si="15"/>
        <v>154029.19318181829</v>
      </c>
      <c r="AH65" s="662">
        <f>+AE$28*AG65+AF65</f>
        <v>32062.297752996834</v>
      </c>
      <c r="AI65" s="661">
        <f>+AK64</f>
        <v>10590449.640151516</v>
      </c>
      <c r="AJ65" s="630">
        <f>+AI$31</f>
        <v>295547.43181818182</v>
      </c>
      <c r="AK65" s="630">
        <f t="shared" si="19"/>
        <v>10294902.208333334</v>
      </c>
      <c r="AL65" s="662">
        <f>+AI$28*AK65+AJ65</f>
        <v>2131195.7503102995</v>
      </c>
      <c r="AM65" s="661">
        <f>+AO64</f>
        <v>3935775.5067045442</v>
      </c>
      <c r="AN65" s="630">
        <f>+AM$31</f>
        <v>110866.91568181818</v>
      </c>
      <c r="AO65" s="630">
        <f t="shared" si="16"/>
        <v>3824908.5910227261</v>
      </c>
      <c r="AP65" s="662">
        <f>+AM$28*AO65+AN65</f>
        <v>792873.10490171541</v>
      </c>
      <c r="AQ65" s="661">
        <f>+AS64</f>
        <v>32351327.482500009</v>
      </c>
      <c r="AR65" s="630">
        <f>+AQ$31</f>
        <v>904932.23727272719</v>
      </c>
      <c r="AS65" s="630">
        <f t="shared" si="17"/>
        <v>31446395.245227281</v>
      </c>
      <c r="AT65" s="662">
        <f>+AQ$28*AS65+AR65</f>
        <v>6512029.9431464327</v>
      </c>
      <c r="AU65" s="776">
        <f>+AW64</f>
        <v>21625000</v>
      </c>
      <c r="AV65" s="775">
        <f>+AU$31</f>
        <v>750000</v>
      </c>
      <c r="AW65" s="775">
        <f t="shared" si="1"/>
        <v>20875000</v>
      </c>
      <c r="AX65" s="757">
        <f>+AU$28*AW65+AV65</f>
        <v>750000</v>
      </c>
      <c r="AY65" s="776">
        <f>+BA64</f>
        <v>14083333.333333332</v>
      </c>
      <c r="AZ65" s="775">
        <f>+AY$31</f>
        <v>500000</v>
      </c>
      <c r="BA65" s="775">
        <f t="shared" si="2"/>
        <v>13583333.333333332</v>
      </c>
      <c r="BB65" s="757">
        <f>+AY$28*BA65+AZ65</f>
        <v>500000</v>
      </c>
      <c r="BC65" s="776">
        <f>+BE64</f>
        <v>22000000</v>
      </c>
      <c r="BD65" s="775">
        <f>+BC$31</f>
        <v>750000</v>
      </c>
      <c r="BE65" s="775">
        <f t="shared" si="4"/>
        <v>21250000</v>
      </c>
      <c r="BF65" s="757">
        <f>+BC$28*BE65+BD65</f>
        <v>750000</v>
      </c>
      <c r="BG65" s="776">
        <f>+BI64</f>
        <v>14238095.238095243</v>
      </c>
      <c r="BH65" s="775">
        <f>+BG$31</f>
        <v>571428.57142857148</v>
      </c>
      <c r="BI65" s="775">
        <f t="shared" si="5"/>
        <v>13666666.666666672</v>
      </c>
      <c r="BJ65" s="757">
        <f>+BG$28*BI65+BH65</f>
        <v>571428.57142857148</v>
      </c>
      <c r="BK65" s="776">
        <f>+BM64</f>
        <v>18800000</v>
      </c>
      <c r="BL65" s="775">
        <f>+BK$31</f>
        <v>1200000</v>
      </c>
      <c r="BM65" s="775">
        <f t="shared" si="9"/>
        <v>17600000</v>
      </c>
      <c r="BN65" s="757">
        <f>+BK$28*BM65+BL65</f>
        <v>1200000</v>
      </c>
      <c r="BO65" s="776">
        <f>+BQ64</f>
        <v>13833333.33333333</v>
      </c>
      <c r="BP65" s="775">
        <f>+BO$31</f>
        <v>666666.66666666663</v>
      </c>
      <c r="BQ65" s="775">
        <f t="shared" si="10"/>
        <v>13166666.666666664</v>
      </c>
      <c r="BR65" s="757">
        <f>+BO$28*BQ65+BP65</f>
        <v>666666.66666666663</v>
      </c>
      <c r="BS65" s="661">
        <f>+BU64</f>
        <v>299191.90909090918</v>
      </c>
      <c r="BT65" s="630">
        <f>+BS$31</f>
        <v>8310.886363636364</v>
      </c>
      <c r="BU65" s="630">
        <f t="shared" si="18"/>
        <v>290881.02272727282</v>
      </c>
      <c r="BV65" s="662">
        <f>+BS$28*BU65+BT65</f>
        <v>60176.872989363532</v>
      </c>
      <c r="BW65" s="661">
        <f>+BY64</f>
        <v>20910494.488636367</v>
      </c>
      <c r="BX65" s="630">
        <f>+BW$31</f>
        <v>576841.22727272729</v>
      </c>
      <c r="BY65" s="630">
        <f t="shared" si="20"/>
        <v>20333653.26136364</v>
      </c>
      <c r="BZ65" s="662">
        <f>+BW$28*BY65+BX65</f>
        <v>4202464.4398769615</v>
      </c>
      <c r="CA65" s="661">
        <f>+CC64</f>
        <v>1973229.6000000006</v>
      </c>
      <c r="CB65" s="630">
        <f>+CA$31</f>
        <v>54433.919999999998</v>
      </c>
      <c r="CC65" s="630">
        <f t="shared" si="21"/>
        <v>1918795.6800000006</v>
      </c>
      <c r="CD65" s="662">
        <f>+CA$28*CC65+CB65</f>
        <v>396567.7248913981</v>
      </c>
      <c r="CE65" s="661">
        <f>+CG64</f>
        <v>171282.30454545459</v>
      </c>
      <c r="CF65" s="630">
        <f>+CE$31</f>
        <v>4725.0290909090909</v>
      </c>
      <c r="CG65" s="630">
        <f t="shared" si="22"/>
        <v>166557.27545454551</v>
      </c>
      <c r="CH65" s="662">
        <f>+CE$28*CG65+CF65</f>
        <v>34423.279393207202</v>
      </c>
      <c r="CI65" s="661">
        <f>+CK64</f>
        <v>460511.59090909082</v>
      </c>
      <c r="CJ65" s="630">
        <f>+CI$31</f>
        <v>12362.727272727272</v>
      </c>
      <c r="CK65" s="630">
        <f t="shared" si="24"/>
        <v>448148.86363636353</v>
      </c>
      <c r="CL65" s="662">
        <f>+CI$28*CK65+CJ65</f>
        <v>92270.597335091239</v>
      </c>
      <c r="CM65" s="661">
        <f>+CO64</f>
        <v>19952280.515625</v>
      </c>
      <c r="CN65" s="630">
        <f>+CM$31</f>
        <v>483691.64886363636</v>
      </c>
      <c r="CO65" s="630">
        <f t="shared" si="35"/>
        <v>19468588.866761364</v>
      </c>
      <c r="CP65" s="662">
        <f>+CM$28*CO65+CN65</f>
        <v>3955068.2286000345</v>
      </c>
      <c r="CQ65" s="661">
        <f>+CS64</f>
        <v>84240476.510284081</v>
      </c>
      <c r="CR65" s="630">
        <f>+CQ$31</f>
        <v>2017735.9643181816</v>
      </c>
      <c r="CS65" s="630">
        <f t="shared" si="40"/>
        <v>82222740.545965895</v>
      </c>
      <c r="CT65" s="662">
        <f>+CQ$28*CS65+CR65</f>
        <v>16678587.750053668</v>
      </c>
      <c r="CU65" s="661">
        <f>+CW64</f>
        <v>28400205.645000003</v>
      </c>
      <c r="CV65" s="630">
        <f>+CU$31</f>
        <v>676195.37250000006</v>
      </c>
      <c r="CW65" s="630">
        <f t="shared" si="41"/>
        <v>27724010.272500005</v>
      </c>
      <c r="CX65" s="662">
        <f>+CU$28*CW65+CV65</f>
        <v>5619567.5200642627</v>
      </c>
      <c r="CY65" s="782">
        <f t="shared" si="25"/>
        <v>29409589.758592147</v>
      </c>
      <c r="CZ65" s="756"/>
      <c r="DA65" s="778">
        <f>+CY65</f>
        <v>29409589.758592147</v>
      </c>
      <c r="DD65" s="661">
        <f>+DF64</f>
        <v>6565348.4333333354</v>
      </c>
      <c r="DE65" s="630">
        <f>+DE63</f>
        <v>1270712.6000000001</v>
      </c>
      <c r="DF65" s="630">
        <f t="shared" si="26"/>
        <v>5294635.8333333358</v>
      </c>
      <c r="DG65" s="662">
        <f t="shared" si="42"/>
        <v>2346934.496574169</v>
      </c>
      <c r="DH65" s="661">
        <f>+DJ64</f>
        <v>5366426.3999999985</v>
      </c>
      <c r="DI65" s="630">
        <f>+DI63</f>
        <v>894404.4</v>
      </c>
      <c r="DJ65" s="630">
        <f t="shared" si="27"/>
        <v>4472021.9999999981</v>
      </c>
      <c r="DK65" s="662">
        <f t="shared" si="43"/>
        <v>1803416.4925902025</v>
      </c>
      <c r="DL65" s="661">
        <f>+DN64</f>
        <v>831046.66341666644</v>
      </c>
      <c r="DM65" s="630">
        <f>+DM63</f>
        <v>140458.59099999999</v>
      </c>
      <c r="DN65" s="630">
        <f t="shared" si="28"/>
        <v>690588.07241666643</v>
      </c>
      <c r="DO65" s="662">
        <f t="shared" si="44"/>
        <v>280831.98559092742</v>
      </c>
      <c r="DP65" s="661">
        <f>+DR64</f>
        <v>101761.80000000002</v>
      </c>
      <c r="DQ65" s="630">
        <f>+DQ63</f>
        <v>16960.3</v>
      </c>
      <c r="DR65" s="630">
        <f t="shared" si="29"/>
        <v>84801.500000000015</v>
      </c>
      <c r="DS65" s="662">
        <f t="shared" si="45"/>
        <v>34197.600927810308</v>
      </c>
      <c r="DT65" s="661">
        <f>+DV64</f>
        <v>7731.6803333333337</v>
      </c>
      <c r="DU65" s="630">
        <f>+DU63</f>
        <v>1253.7860000000001</v>
      </c>
      <c r="DV65" s="630">
        <f t="shared" si="34"/>
        <v>6477.8943333333336</v>
      </c>
      <c r="DW65" s="662">
        <f t="shared" si="46"/>
        <v>2570.5246662054774</v>
      </c>
      <c r="DX65" s="661">
        <f>+DZ64</f>
        <v>25207874.874999996</v>
      </c>
      <c r="DY65" s="630">
        <f>+DY63</f>
        <v>4033259.9799999995</v>
      </c>
      <c r="DZ65" s="630">
        <f t="shared" si="30"/>
        <v>21174614.894999996</v>
      </c>
      <c r="EA65" s="662">
        <f t="shared" si="47"/>
        <v>8337349.046533131</v>
      </c>
      <c r="EB65" s="661">
        <f>+ED64</f>
        <v>349267.83483333339</v>
      </c>
      <c r="EC65" s="630">
        <f>+EC63</f>
        <v>53053.342000000004</v>
      </c>
      <c r="ED65" s="630">
        <f t="shared" si="31"/>
        <v>296214.49283333338</v>
      </c>
      <c r="EE65" s="662">
        <f t="shared" si="48"/>
        <v>113263.81412781469</v>
      </c>
      <c r="EF65" s="661">
        <f>+EH64</f>
        <v>-354885.73549999984</v>
      </c>
      <c r="EG65" s="630">
        <f>+EG63</f>
        <v>-53906.693999999974</v>
      </c>
      <c r="EH65" s="630">
        <f t="shared" si="32"/>
        <v>-300979.04149999988</v>
      </c>
      <c r="EI65" s="662">
        <f t="shared" si="49"/>
        <v>-115085.63908115307</v>
      </c>
      <c r="EJ65" s="661">
        <f>+EL64</f>
        <v>22738072.131833337</v>
      </c>
      <c r="EK65" s="630">
        <f>+EK63</f>
        <v>3327522.7509999997</v>
      </c>
      <c r="EL65" s="630">
        <f t="shared" si="33"/>
        <v>19410549.380833339</v>
      </c>
      <c r="EM65" s="662">
        <f t="shared" si="50"/>
        <v>7273036.4606813882</v>
      </c>
      <c r="EN65" s="661">
        <f>+EP64</f>
        <v>344350.25474999996</v>
      </c>
      <c r="EO65" s="630">
        <f>+EO63</f>
        <v>49785.578999999998</v>
      </c>
      <c r="EP65" s="630">
        <f t="shared" si="38"/>
        <v>294564.67574999994</v>
      </c>
      <c r="EQ65" s="662">
        <f t="shared" si="51"/>
        <v>109660.69864535551</v>
      </c>
      <c r="ER65" s="661">
        <f>+ET64</f>
        <v>1317046.4324999999</v>
      </c>
      <c r="ES65" s="630">
        <f>+ES63</f>
        <v>175606.19100000002</v>
      </c>
      <c r="ET65" s="630">
        <f t="shared" si="39"/>
        <v>1141440.2414999998</v>
      </c>
      <c r="EU65" s="662">
        <f t="shared" si="52"/>
        <v>407622.71115410066</v>
      </c>
      <c r="EW65" s="661"/>
      <c r="EX65" s="630"/>
      <c r="EY65" s="630"/>
      <c r="EZ65" s="662"/>
      <c r="FA65" s="661"/>
      <c r="FB65" s="630"/>
      <c r="FC65" s="630"/>
      <c r="FD65" s="662"/>
    </row>
    <row r="66" spans="1:160">
      <c r="A66" s="753" t="s">
        <v>23</v>
      </c>
      <c r="B66" s="774">
        <f t="shared" si="0"/>
        <v>2019</v>
      </c>
      <c r="C66" s="775">
        <f>+C65</f>
        <v>15045479.46306818</v>
      </c>
      <c r="D66" s="775">
        <f>+D65</f>
        <v>445791.98409090913</v>
      </c>
      <c r="E66" s="775">
        <f t="shared" si="6"/>
        <v>14599687.47897727</v>
      </c>
      <c r="F66" s="757">
        <f>+C$29*E66+D66</f>
        <v>3165131.9184790822</v>
      </c>
      <c r="G66" s="775">
        <f>+G65</f>
        <v>3880665.1097727246</v>
      </c>
      <c r="H66" s="775">
        <f>+H65</f>
        <v>115840.74954545456</v>
      </c>
      <c r="I66" s="775">
        <f t="shared" si="7"/>
        <v>3764824.3602272701</v>
      </c>
      <c r="J66" s="757">
        <f>+G$29*I66+H66</f>
        <v>817077.48789792461</v>
      </c>
      <c r="K66" s="776">
        <f>+K65</f>
        <v>10002497.177215904</v>
      </c>
      <c r="L66" s="775">
        <f>+L65</f>
        <v>305419.76113636367</v>
      </c>
      <c r="M66" s="775">
        <f t="shared" si="8"/>
        <v>9697077.4160795398</v>
      </c>
      <c r="N66" s="757">
        <f>+K$29*M66+L66</f>
        <v>2111598.8250628742</v>
      </c>
      <c r="O66" s="776">
        <f>+O65</f>
        <v>4156185.0833333321</v>
      </c>
      <c r="P66" s="775">
        <f>+P65</f>
        <v>119316.31818181818</v>
      </c>
      <c r="Q66" s="775">
        <f t="shared" si="11"/>
        <v>4036868.7651515137</v>
      </c>
      <c r="R66" s="757">
        <f>+O$29*Q66+P66</f>
        <v>871224.0873561881</v>
      </c>
      <c r="S66" s="661">
        <f>+S65</f>
        <v>1934137.5642424226</v>
      </c>
      <c r="T66" s="630">
        <f>+T65</f>
        <v>58315.705454545445</v>
      </c>
      <c r="U66" s="630">
        <f t="shared" si="12"/>
        <v>1875821.858787877</v>
      </c>
      <c r="V66" s="662">
        <f>+S$29*U66+T66</f>
        <v>407706.56041258993</v>
      </c>
      <c r="W66" s="661">
        <f>+W65</f>
        <v>24149727.541666668</v>
      </c>
      <c r="X66" s="630">
        <f>+X65</f>
        <v>693293.61363636365</v>
      </c>
      <c r="Y66" s="630">
        <f t="shared" si="13"/>
        <v>23456433.928030305</v>
      </c>
      <c r="Z66" s="662">
        <f>+W$29*Y66+X66</f>
        <v>5062292.4425961422</v>
      </c>
      <c r="AA66" s="661">
        <f>+AA65</f>
        <v>15741595.899621205</v>
      </c>
      <c r="AB66" s="630">
        <f>+AB65</f>
        <v>450833.29545454547</v>
      </c>
      <c r="AC66" s="630">
        <f t="shared" si="14"/>
        <v>15290762.60416666</v>
      </c>
      <c r="AD66" s="662">
        <f>+AA$29*AC66+AB66</f>
        <v>3298892.9841727922</v>
      </c>
      <c r="AE66" s="661">
        <f>+AE65</f>
        <v>158627.07954545465</v>
      </c>
      <c r="AF66" s="630">
        <f>+AF65</f>
        <v>4597.886363636364</v>
      </c>
      <c r="AG66" s="630">
        <f t="shared" si="15"/>
        <v>154029.19318181829</v>
      </c>
      <c r="AH66" s="662">
        <f>+AE$29*AG66+AF66</f>
        <v>33287.386511090925</v>
      </c>
      <c r="AI66" s="661">
        <f>+AI65</f>
        <v>10590449.640151516</v>
      </c>
      <c r="AJ66" s="630">
        <f>+AJ65</f>
        <v>295547.43181818182</v>
      </c>
      <c r="AK66" s="630">
        <f t="shared" si="19"/>
        <v>10294902.208333334</v>
      </c>
      <c r="AL66" s="662">
        <f>+AI$29*AK66+AJ66</f>
        <v>2213077.4293646044</v>
      </c>
      <c r="AM66" s="661">
        <f>+AM65</f>
        <v>3935775.5067045442</v>
      </c>
      <c r="AN66" s="630">
        <f>+AN65</f>
        <v>110866.91568181818</v>
      </c>
      <c r="AO66" s="630">
        <f t="shared" si="16"/>
        <v>3824908.5910227261</v>
      </c>
      <c r="AP66" s="662">
        <f>+AM$29*AO66+AN66</f>
        <v>823294.95168804633</v>
      </c>
      <c r="AQ66" s="661">
        <f>+AQ65</f>
        <v>32351327.482500009</v>
      </c>
      <c r="AR66" s="630">
        <f>+AR65</f>
        <v>904932.23727272719</v>
      </c>
      <c r="AS66" s="630">
        <f t="shared" si="17"/>
        <v>31446395.245227281</v>
      </c>
      <c r="AT66" s="662">
        <f>+AQ$29*AS66+AR66</f>
        <v>6762142.4348221915</v>
      </c>
      <c r="AU66" s="776">
        <f>+AU65</f>
        <v>21625000</v>
      </c>
      <c r="AV66" s="775">
        <f>+AV65</f>
        <v>750000</v>
      </c>
      <c r="AW66" s="775">
        <f t="shared" si="1"/>
        <v>20875000</v>
      </c>
      <c r="AX66" s="757">
        <f>+AU$29*AW66+AV66</f>
        <v>750000</v>
      </c>
      <c r="AY66" s="776">
        <f>+AY65</f>
        <v>14083333.333333332</v>
      </c>
      <c r="AZ66" s="775">
        <f>+AZ65</f>
        <v>500000</v>
      </c>
      <c r="BA66" s="775">
        <f t="shared" si="2"/>
        <v>13583333.333333332</v>
      </c>
      <c r="BB66" s="757">
        <f>+AY$29*BA66+AZ66</f>
        <v>500000</v>
      </c>
      <c r="BC66" s="776">
        <f>+BC65</f>
        <v>22000000</v>
      </c>
      <c r="BD66" s="775">
        <f>+BD65</f>
        <v>750000</v>
      </c>
      <c r="BE66" s="775">
        <f t="shared" si="4"/>
        <v>21250000</v>
      </c>
      <c r="BF66" s="757">
        <f>+BC$29*BE66+BD66</f>
        <v>750000</v>
      </c>
      <c r="BG66" s="776">
        <f>+BG65</f>
        <v>14238095.238095243</v>
      </c>
      <c r="BH66" s="775">
        <f>+BH65</f>
        <v>571428.57142857148</v>
      </c>
      <c r="BI66" s="775">
        <f t="shared" si="5"/>
        <v>13666666.666666672</v>
      </c>
      <c r="BJ66" s="757">
        <f>+BG$29*BI66+BH66</f>
        <v>571428.57142857148</v>
      </c>
      <c r="BK66" s="776">
        <f>+BK65</f>
        <v>18800000</v>
      </c>
      <c r="BL66" s="775">
        <f>+BL65</f>
        <v>1200000</v>
      </c>
      <c r="BM66" s="775">
        <f t="shared" si="9"/>
        <v>17600000</v>
      </c>
      <c r="BN66" s="757">
        <f>+BK$29*BM66+BL66</f>
        <v>1200000</v>
      </c>
      <c r="BO66" s="776">
        <f>+BO65</f>
        <v>13833333.33333333</v>
      </c>
      <c r="BP66" s="775">
        <f>+BP65</f>
        <v>666666.66666666663</v>
      </c>
      <c r="BQ66" s="775">
        <f t="shared" si="10"/>
        <v>13166666.666666664</v>
      </c>
      <c r="BR66" s="757">
        <f>+BO$29*BQ66+BP66</f>
        <v>666666.66666666663</v>
      </c>
      <c r="BS66" s="661">
        <f>+BS65</f>
        <v>299191.90909090918</v>
      </c>
      <c r="BT66" s="630">
        <f>+BT65</f>
        <v>8310.886363636364</v>
      </c>
      <c r="BU66" s="630">
        <f t="shared" si="18"/>
        <v>290881.02272727282</v>
      </c>
      <c r="BV66" s="662">
        <f>+BS$29*BU66+BT66</f>
        <v>62490.428384446641</v>
      </c>
      <c r="BW66" s="661">
        <f>+BW65</f>
        <v>20910494.488636367</v>
      </c>
      <c r="BX66" s="630">
        <f>+BX65</f>
        <v>576841.22727272729</v>
      </c>
      <c r="BY66" s="630">
        <f t="shared" si="20"/>
        <v>20333653.26136364</v>
      </c>
      <c r="BZ66" s="662">
        <f>+BW$29*BY66+BX66</f>
        <v>4202464.4398769615</v>
      </c>
      <c r="CA66" s="661">
        <f>+CA65</f>
        <v>1973229.6000000006</v>
      </c>
      <c r="CB66" s="630">
        <f>+CB65</f>
        <v>54433.919999999998</v>
      </c>
      <c r="CC66" s="630">
        <f t="shared" si="21"/>
        <v>1918795.6800000006</v>
      </c>
      <c r="CD66" s="662">
        <f>+CA$29*CC66+CB66</f>
        <v>411829.08520945621</v>
      </c>
      <c r="CE66" s="661">
        <f>+CE65</f>
        <v>171282.30454545459</v>
      </c>
      <c r="CF66" s="630">
        <f>+CF65</f>
        <v>4725.0290909090909</v>
      </c>
      <c r="CG66" s="630">
        <f t="shared" si="22"/>
        <v>166557.27545454551</v>
      </c>
      <c r="CH66" s="662">
        <f>+CE$29*CG66+CF66</f>
        <v>35748.011682736782</v>
      </c>
      <c r="CI66" s="661">
        <f>+CI65</f>
        <v>460511.59090909082</v>
      </c>
      <c r="CJ66" s="630">
        <f>+CJ65</f>
        <v>12362.727272727272</v>
      </c>
      <c r="CK66" s="630">
        <f t="shared" si="24"/>
        <v>448148.86363636353</v>
      </c>
      <c r="CL66" s="662">
        <f>+CI$29*CK66+CJ66</f>
        <v>92270.597335091239</v>
      </c>
      <c r="CM66" s="661">
        <f>+CM65</f>
        <v>19952280.515625</v>
      </c>
      <c r="CN66" s="630">
        <f>+CN65</f>
        <v>483691.64886363636</v>
      </c>
      <c r="CO66" s="630">
        <f t="shared" si="35"/>
        <v>19468588.866761364</v>
      </c>
      <c r="CP66" s="662">
        <f>+CM$29*CO66+CN66</f>
        <v>3955068.2286000345</v>
      </c>
      <c r="CQ66" s="661">
        <f>+CQ65</f>
        <v>84240476.510284081</v>
      </c>
      <c r="CR66" s="630">
        <f>+CR65</f>
        <v>2017735.9643181816</v>
      </c>
      <c r="CS66" s="630">
        <f t="shared" si="40"/>
        <v>82222740.545965895</v>
      </c>
      <c r="CT66" s="662">
        <f>+CQ$29*CS66+CR66</f>
        <v>16678587.750053668</v>
      </c>
      <c r="CU66" s="661">
        <f>+CU65</f>
        <v>28400205.645000003</v>
      </c>
      <c r="CV66" s="630">
        <f>+CV65</f>
        <v>676195.37250000006</v>
      </c>
      <c r="CW66" s="630">
        <f t="shared" si="41"/>
        <v>27724010.272500005</v>
      </c>
      <c r="CX66" s="662">
        <f>+CU$29*CW66+CV66</f>
        <v>5619567.5200642627</v>
      </c>
      <c r="CY66" s="782">
        <f t="shared" si="25"/>
        <v>30370529.070852216</v>
      </c>
      <c r="CZ66" s="779">
        <f>+CY66</f>
        <v>30370529.070852216</v>
      </c>
      <c r="DA66" s="752"/>
      <c r="DB66" s="781"/>
      <c r="DD66" s="661">
        <f>+DD65</f>
        <v>6565348.4333333354</v>
      </c>
      <c r="DE66" s="630">
        <f>+DE65</f>
        <v>1270712.6000000001</v>
      </c>
      <c r="DF66" s="630">
        <f t="shared" si="26"/>
        <v>5294635.8333333358</v>
      </c>
      <c r="DG66" s="662">
        <f t="shared" si="42"/>
        <v>2346934.496574169</v>
      </c>
      <c r="DH66" s="661">
        <f>+DH65</f>
        <v>5366426.3999999985</v>
      </c>
      <c r="DI66" s="630">
        <f>+DI65</f>
        <v>894404.4</v>
      </c>
      <c r="DJ66" s="630">
        <f t="shared" si="27"/>
        <v>4472021.9999999981</v>
      </c>
      <c r="DK66" s="662">
        <f t="shared" si="43"/>
        <v>1803416.4925902025</v>
      </c>
      <c r="DL66" s="661">
        <f>+DL65</f>
        <v>831046.66341666644</v>
      </c>
      <c r="DM66" s="630">
        <f>+DM65</f>
        <v>140458.59099999999</v>
      </c>
      <c r="DN66" s="630">
        <f t="shared" si="28"/>
        <v>690588.07241666643</v>
      </c>
      <c r="DO66" s="662">
        <f t="shared" si="44"/>
        <v>280831.98559092742</v>
      </c>
      <c r="DP66" s="661">
        <f>+DP65</f>
        <v>101761.80000000002</v>
      </c>
      <c r="DQ66" s="630">
        <f>+DQ65</f>
        <v>16960.3</v>
      </c>
      <c r="DR66" s="630">
        <f t="shared" si="29"/>
        <v>84801.500000000015</v>
      </c>
      <c r="DS66" s="662">
        <f t="shared" si="45"/>
        <v>34197.600927810308</v>
      </c>
      <c r="DT66" s="661">
        <f>+DT65</f>
        <v>7731.6803333333337</v>
      </c>
      <c r="DU66" s="630">
        <f>+DU65</f>
        <v>1253.7860000000001</v>
      </c>
      <c r="DV66" s="630">
        <f t="shared" si="34"/>
        <v>6477.8943333333336</v>
      </c>
      <c r="DW66" s="662">
        <f t="shared" si="46"/>
        <v>2570.5246662054774</v>
      </c>
      <c r="DX66" s="661">
        <f>+DX65</f>
        <v>25207874.874999996</v>
      </c>
      <c r="DY66" s="630">
        <f>+DY65</f>
        <v>4033259.9799999995</v>
      </c>
      <c r="DZ66" s="630">
        <f t="shared" si="30"/>
        <v>21174614.894999996</v>
      </c>
      <c r="EA66" s="662">
        <f t="shared" si="47"/>
        <v>8337349.046533131</v>
      </c>
      <c r="EB66" s="661">
        <f>+EB65</f>
        <v>349267.83483333339</v>
      </c>
      <c r="EC66" s="630">
        <f>+EC65</f>
        <v>53053.342000000004</v>
      </c>
      <c r="ED66" s="630">
        <f t="shared" si="31"/>
        <v>296214.49283333338</v>
      </c>
      <c r="EE66" s="662">
        <f t="shared" si="48"/>
        <v>113263.81412781469</v>
      </c>
      <c r="EF66" s="661">
        <f>+EF65</f>
        <v>-354885.73549999984</v>
      </c>
      <c r="EG66" s="630">
        <f>+EG65</f>
        <v>-53906.693999999974</v>
      </c>
      <c r="EH66" s="630">
        <f t="shared" si="32"/>
        <v>-300979.04149999988</v>
      </c>
      <c r="EI66" s="662">
        <f t="shared" si="49"/>
        <v>-115085.63908115307</v>
      </c>
      <c r="EJ66" s="661">
        <f>+EJ65</f>
        <v>22738072.131833337</v>
      </c>
      <c r="EK66" s="630">
        <f>+EK65</f>
        <v>3327522.7509999997</v>
      </c>
      <c r="EL66" s="630">
        <f t="shared" si="33"/>
        <v>19410549.380833339</v>
      </c>
      <c r="EM66" s="662">
        <f t="shared" si="50"/>
        <v>7273036.4606813882</v>
      </c>
      <c r="EN66" s="661">
        <f>+EN65</f>
        <v>344350.25474999996</v>
      </c>
      <c r="EO66" s="630">
        <f>+EO65</f>
        <v>49785.578999999998</v>
      </c>
      <c r="EP66" s="630">
        <f t="shared" si="38"/>
        <v>294564.67574999994</v>
      </c>
      <c r="EQ66" s="662">
        <f t="shared" si="51"/>
        <v>109660.69864535551</v>
      </c>
      <c r="ER66" s="661">
        <f>+ER65</f>
        <v>1317046.4324999999</v>
      </c>
      <c r="ES66" s="630">
        <f>+ES65</f>
        <v>175606.19100000002</v>
      </c>
      <c r="ET66" s="630">
        <f t="shared" si="39"/>
        <v>1141440.2414999998</v>
      </c>
      <c r="EU66" s="662">
        <f t="shared" si="52"/>
        <v>407622.71115410066</v>
      </c>
      <c r="EW66" s="661"/>
      <c r="EX66" s="630"/>
      <c r="EY66" s="630"/>
      <c r="EZ66" s="662"/>
      <c r="FA66" s="661"/>
      <c r="FB66" s="630"/>
      <c r="FC66" s="630"/>
      <c r="FD66" s="662"/>
    </row>
    <row r="67" spans="1:160">
      <c r="A67" s="753" t="s">
        <v>24</v>
      </c>
      <c r="B67" s="774">
        <f t="shared" si="0"/>
        <v>2020</v>
      </c>
      <c r="C67" s="775">
        <f>+E66</f>
        <v>14599687.47897727</v>
      </c>
      <c r="D67" s="775">
        <f>+C$31</f>
        <v>445791.98409090913</v>
      </c>
      <c r="E67" s="775">
        <f t="shared" si="6"/>
        <v>14153895.494886361</v>
      </c>
      <c r="F67" s="757">
        <f>+C$28*E67+D67</f>
        <v>2969524.0156851681</v>
      </c>
      <c r="G67" s="775">
        <f>+I66</f>
        <v>3764824.3602272701</v>
      </c>
      <c r="H67" s="775">
        <f>+G$31</f>
        <v>115840.74954545456</v>
      </c>
      <c r="I67" s="775">
        <f t="shared" si="7"/>
        <v>3648983.6106818155</v>
      </c>
      <c r="J67" s="757">
        <f>+G$28*I67+H67</f>
        <v>766478.36548428203</v>
      </c>
      <c r="K67" s="776">
        <f>+M66</f>
        <v>9697077.4160795398</v>
      </c>
      <c r="L67" s="775">
        <f>+K$31</f>
        <v>305419.76113636367</v>
      </c>
      <c r="M67" s="775">
        <f t="shared" si="8"/>
        <v>9391657.6549431756</v>
      </c>
      <c r="N67" s="757">
        <f>+K$28*M67+L67</f>
        <v>1980013.6750246487</v>
      </c>
      <c r="O67" s="776">
        <f>+Q66</f>
        <v>4036868.7651515137</v>
      </c>
      <c r="P67" s="775">
        <f>+O$31</f>
        <v>119316.31818181818</v>
      </c>
      <c r="Q67" s="775">
        <f t="shared" si="11"/>
        <v>3917552.4469696954</v>
      </c>
      <c r="R67" s="757">
        <f>+O$28*Q67+P67</f>
        <v>817841.51214272412</v>
      </c>
      <c r="S67" s="661">
        <f>+U66</f>
        <v>1875821.858787877</v>
      </c>
      <c r="T67" s="630">
        <f>+S$31</f>
        <v>58315.705454545445</v>
      </c>
      <c r="U67" s="630">
        <f t="shared" si="12"/>
        <v>1817506.1533333315</v>
      </c>
      <c r="V67" s="662">
        <f>+S$28*U67+T67</f>
        <v>382388.92603499896</v>
      </c>
      <c r="W67" s="661">
        <f>+Y66</f>
        <v>23456433.928030305</v>
      </c>
      <c r="X67" s="630">
        <f>+W$31</f>
        <v>693293.61363636365</v>
      </c>
      <c r="Y67" s="630">
        <f t="shared" si="13"/>
        <v>22763140.314393941</v>
      </c>
      <c r="Z67" s="662">
        <f>+W$28*Y67+X67</f>
        <v>4752110.2391982749</v>
      </c>
      <c r="AA67" s="661">
        <f>+AC66</f>
        <v>15290762.60416666</v>
      </c>
      <c r="AB67" s="630">
        <f>+AA$31</f>
        <v>450833.29545454547</v>
      </c>
      <c r="AC67" s="630">
        <f t="shared" si="14"/>
        <v>14839929.308712116</v>
      </c>
      <c r="AD67" s="662">
        <f>+AA$28*AC67+AB67</f>
        <v>3096889.6377895717</v>
      </c>
      <c r="AE67" s="661">
        <f>+AG66</f>
        <v>154029.19318181829</v>
      </c>
      <c r="AF67" s="630">
        <f>+AE$31</f>
        <v>4597.886363636364</v>
      </c>
      <c r="AG67" s="630">
        <f t="shared" si="15"/>
        <v>149431.30681818194</v>
      </c>
      <c r="AH67" s="662">
        <f>+AE$28*AG67+AF67</f>
        <v>31242.464577195035</v>
      </c>
      <c r="AI67" s="661">
        <f>+AK66</f>
        <v>10294902.208333334</v>
      </c>
      <c r="AJ67" s="630">
        <f>+AI$31</f>
        <v>295547.43181818182</v>
      </c>
      <c r="AK67" s="630">
        <f t="shared" si="19"/>
        <v>9999354.7765151523</v>
      </c>
      <c r="AL67" s="662">
        <f>+AI$28*AK67+AJ67</f>
        <v>2078497.712458851</v>
      </c>
      <c r="AM67" s="661">
        <f>+AO66</f>
        <v>3824908.5910227261</v>
      </c>
      <c r="AN67" s="630">
        <f>+AM$31</f>
        <v>110866.91568181818</v>
      </c>
      <c r="AO67" s="630">
        <f t="shared" si="16"/>
        <v>3714041.6753409081</v>
      </c>
      <c r="AP67" s="662">
        <f>+AM$28*AO67+AN67</f>
        <v>773104.80956200825</v>
      </c>
      <c r="AQ67" s="661">
        <f>+AS66</f>
        <v>31446395.245227281</v>
      </c>
      <c r="AR67" s="630">
        <f>+AQ$31</f>
        <v>904932.23727272719</v>
      </c>
      <c r="AS67" s="630">
        <f t="shared" si="17"/>
        <v>30541463.007954553</v>
      </c>
      <c r="AT67" s="662">
        <f>+AQ$28*AS67+AR67</f>
        <v>6350674.6134810019</v>
      </c>
      <c r="AU67" s="776">
        <f>+AW66</f>
        <v>20875000</v>
      </c>
      <c r="AV67" s="775">
        <f>+AU$31</f>
        <v>750000</v>
      </c>
      <c r="AW67" s="775">
        <f t="shared" si="1"/>
        <v>20125000</v>
      </c>
      <c r="AX67" s="757">
        <f>+AU$28*AW67+AV67</f>
        <v>750000</v>
      </c>
      <c r="AY67" s="776">
        <f>+BA66</f>
        <v>13583333.333333332</v>
      </c>
      <c r="AZ67" s="775">
        <f>+AY$31</f>
        <v>500000</v>
      </c>
      <c r="BA67" s="775">
        <f t="shared" si="2"/>
        <v>13083333.333333332</v>
      </c>
      <c r="BB67" s="757">
        <f>+AY$28*BA67+AZ67</f>
        <v>500000</v>
      </c>
      <c r="BC67" s="776">
        <f>+BE66</f>
        <v>21250000</v>
      </c>
      <c r="BD67" s="775">
        <f>+BC$31</f>
        <v>750000</v>
      </c>
      <c r="BE67" s="775">
        <f t="shared" si="4"/>
        <v>20500000</v>
      </c>
      <c r="BF67" s="757">
        <f>+BC$28*BE67+BD67</f>
        <v>750000</v>
      </c>
      <c r="BG67" s="776">
        <f>+BI66</f>
        <v>13666666.666666672</v>
      </c>
      <c r="BH67" s="775">
        <f>+BG$31</f>
        <v>571428.57142857148</v>
      </c>
      <c r="BI67" s="775">
        <f t="shared" si="5"/>
        <v>13095238.095238101</v>
      </c>
      <c r="BJ67" s="757">
        <f>+BG$28*BI67+BH67</f>
        <v>571428.57142857148</v>
      </c>
      <c r="BK67" s="776">
        <f>+BM66</f>
        <v>17600000</v>
      </c>
      <c r="BL67" s="775">
        <f>+BK$31</f>
        <v>1200000</v>
      </c>
      <c r="BM67" s="775">
        <f t="shared" si="9"/>
        <v>16400000</v>
      </c>
      <c r="BN67" s="757">
        <f>+BK$28*BM67+BL67</f>
        <v>1200000</v>
      </c>
      <c r="BO67" s="776">
        <f>+BQ66</f>
        <v>13166666.666666664</v>
      </c>
      <c r="BP67" s="775">
        <f>+BO$31</f>
        <v>666666.66666666663</v>
      </c>
      <c r="BQ67" s="775">
        <f t="shared" si="10"/>
        <v>12499999.999999998</v>
      </c>
      <c r="BR67" s="757">
        <f>+BO$28*BQ67+BP67</f>
        <v>666666.66666666663</v>
      </c>
      <c r="BS67" s="661">
        <f>+BU66</f>
        <v>290881.02272727282</v>
      </c>
      <c r="BT67" s="630">
        <f>+BS$31</f>
        <v>8310.886363636364</v>
      </c>
      <c r="BU67" s="630">
        <f t="shared" si="18"/>
        <v>282570.13636363647</v>
      </c>
      <c r="BV67" s="662">
        <f>+BS$28*BU67+BT67</f>
        <v>58694.987657199905</v>
      </c>
      <c r="BW67" s="661">
        <f>+BY66</f>
        <v>20333653.26136364</v>
      </c>
      <c r="BX67" s="630">
        <f>+BW$31</f>
        <v>576841.22727272729</v>
      </c>
      <c r="BY67" s="630">
        <f t="shared" si="20"/>
        <v>19756812.034090914</v>
      </c>
      <c r="BZ67" s="662">
        <f>+BW$28*BY67+BX67</f>
        <v>4099609.8806541469</v>
      </c>
      <c r="CA67" s="661">
        <f>+CC66</f>
        <v>1918795.6800000006</v>
      </c>
      <c r="CB67" s="630">
        <f>+CA$31</f>
        <v>54433.919999999998</v>
      </c>
      <c r="CC67" s="630">
        <f t="shared" si="21"/>
        <v>1864361.7600000007</v>
      </c>
      <c r="CD67" s="662">
        <f>+CA$28*CC67+CB67</f>
        <v>386861.80134837975</v>
      </c>
      <c r="CE67" s="661">
        <f>+CG66</f>
        <v>166557.27545454551</v>
      </c>
      <c r="CF67" s="630">
        <f>+CE$31</f>
        <v>4725.0290909090909</v>
      </c>
      <c r="CG67" s="630">
        <f t="shared" si="22"/>
        <v>161832.24636363643</v>
      </c>
      <c r="CH67" s="662">
        <f>+CE$28*CG67+CF67</f>
        <v>33580.775838532078</v>
      </c>
      <c r="CI67" s="661">
        <f>+CK66</f>
        <v>448148.86363636353</v>
      </c>
      <c r="CJ67" s="630">
        <f>+CI$31</f>
        <v>12362.727272727272</v>
      </c>
      <c r="CK67" s="630">
        <f t="shared" si="24"/>
        <v>435786.13636363624</v>
      </c>
      <c r="CL67" s="662">
        <f>+CI$28*CK67+CJ67</f>
        <v>90066.242298888101</v>
      </c>
      <c r="CM67" s="661">
        <f>+CO66</f>
        <v>19468588.866761364</v>
      </c>
      <c r="CN67" s="630">
        <f>+CM$31</f>
        <v>483691.64886363636</v>
      </c>
      <c r="CO67" s="630">
        <f t="shared" si="35"/>
        <v>18984897.217897728</v>
      </c>
      <c r="CP67" s="662">
        <f>+CM$28*CO67+CN67</f>
        <v>3868822.8477370185</v>
      </c>
      <c r="CQ67" s="661">
        <f>+CS66</f>
        <v>82222740.545965895</v>
      </c>
      <c r="CR67" s="630">
        <f>+CQ$31</f>
        <v>2017735.9643181816</v>
      </c>
      <c r="CS67" s="630">
        <f t="shared" si="40"/>
        <v>80205004.581647709</v>
      </c>
      <c r="CT67" s="662">
        <f>+CQ$28*CS67+CR67</f>
        <v>16318812.246109238</v>
      </c>
      <c r="CU67" s="661">
        <f>+CW66</f>
        <v>27724010.272500005</v>
      </c>
      <c r="CV67" s="630">
        <f>+CU$31</f>
        <v>676195.37250000006</v>
      </c>
      <c r="CW67" s="630">
        <f t="shared" si="41"/>
        <v>27047814.900000006</v>
      </c>
      <c r="CX67" s="662">
        <f>+CU$28*CW67+CV67</f>
        <v>5498997.4676846471</v>
      </c>
      <c r="CY67" s="782">
        <f t="shared" si="25"/>
        <v>28667579.659235876</v>
      </c>
      <c r="CZ67" s="756"/>
      <c r="DA67" s="778">
        <f>+CY67</f>
        <v>28667579.659235876</v>
      </c>
      <c r="DD67" s="661">
        <f>+DF66</f>
        <v>5294635.8333333358</v>
      </c>
      <c r="DE67" s="630">
        <f t="shared" ref="DE67:DE74" si="53">+DE66</f>
        <v>1270712.6000000001</v>
      </c>
      <c r="DF67" s="630">
        <f t="shared" si="26"/>
        <v>4023923.2333333357</v>
      </c>
      <c r="DG67" s="662">
        <f t="shared" si="42"/>
        <v>2088641.2413963687</v>
      </c>
      <c r="DH67" s="661">
        <f>+DJ66</f>
        <v>4472021.9999999981</v>
      </c>
      <c r="DI67" s="630">
        <f t="shared" ref="DI67:DI74" si="54">+DI66</f>
        <v>894404.4</v>
      </c>
      <c r="DJ67" s="630">
        <f t="shared" si="27"/>
        <v>3577617.5999999982</v>
      </c>
      <c r="DK67" s="662">
        <f t="shared" si="43"/>
        <v>1621614.0740721622</v>
      </c>
      <c r="DL67" s="661">
        <f>+DN66</f>
        <v>690588.07241666643</v>
      </c>
      <c r="DM67" s="630">
        <f t="shared" ref="DM67:DM74" si="55">+DM66</f>
        <v>140458.59099999999</v>
      </c>
      <c r="DN67" s="630">
        <f t="shared" si="28"/>
        <v>550129.48141666641</v>
      </c>
      <c r="DO67" s="662">
        <f t="shared" si="44"/>
        <v>252281.46465717949</v>
      </c>
      <c r="DP67" s="661">
        <f>+DR66</f>
        <v>84801.500000000015</v>
      </c>
      <c r="DQ67" s="630">
        <f t="shared" ref="DQ67:DQ74" si="56">+DQ66</f>
        <v>16960.3</v>
      </c>
      <c r="DR67" s="630">
        <f t="shared" si="29"/>
        <v>67841.200000000012</v>
      </c>
      <c r="DS67" s="662">
        <f t="shared" si="45"/>
        <v>30750.140742248244</v>
      </c>
      <c r="DT67" s="661">
        <f>+DV66</f>
        <v>6477.8943333333336</v>
      </c>
      <c r="DU67" s="630">
        <f t="shared" ref="DU67:DU76" si="57">+DU66</f>
        <v>1253.7860000000001</v>
      </c>
      <c r="DV67" s="630">
        <f t="shared" si="34"/>
        <v>5224.1083333333336</v>
      </c>
      <c r="DW67" s="662">
        <f t="shared" si="46"/>
        <v>2315.6720211334496</v>
      </c>
      <c r="DX67" s="661">
        <f>+DZ66</f>
        <v>21174614.894999996</v>
      </c>
      <c r="DY67" s="630">
        <f t="shared" ref="DY67:DY76" si="58">+DY66</f>
        <v>4033259.9799999995</v>
      </c>
      <c r="DZ67" s="630">
        <f t="shared" si="30"/>
        <v>17141354.914999995</v>
      </c>
      <c r="EA67" s="662">
        <f t="shared" si="47"/>
        <v>7517522.5576696768</v>
      </c>
      <c r="EB67" s="661">
        <f>+ED66</f>
        <v>296214.49283333338</v>
      </c>
      <c r="EC67" s="630">
        <f t="shared" ref="EC67:EC76" si="59">+EC66</f>
        <v>53053.342000000004</v>
      </c>
      <c r="ED67" s="630">
        <f t="shared" si="31"/>
        <v>243161.15083333338</v>
      </c>
      <c r="EE67" s="662">
        <f t="shared" si="48"/>
        <v>102479.84897059415</v>
      </c>
      <c r="EF67" s="661">
        <f>+EH66</f>
        <v>-300979.04149999988</v>
      </c>
      <c r="EG67" s="630">
        <f t="shared" ref="EG67:EG76" si="60">+EG66</f>
        <v>-53906.693999999974</v>
      </c>
      <c r="EH67" s="630">
        <f t="shared" si="32"/>
        <v>-247072.34749999992</v>
      </c>
      <c r="EI67" s="662">
        <f t="shared" si="49"/>
        <v>-104128.21608154356</v>
      </c>
      <c r="EJ67" s="661">
        <f>+EL66</f>
        <v>19410549.380833339</v>
      </c>
      <c r="EK67" s="630">
        <f t="shared" ref="EK67:EK76" si="61">+EK66</f>
        <v>3327522.7509999997</v>
      </c>
      <c r="EL67" s="630">
        <f t="shared" si="33"/>
        <v>16083026.629833339</v>
      </c>
      <c r="EM67" s="662">
        <f t="shared" si="50"/>
        <v>6596662.6818788648</v>
      </c>
      <c r="EN67" s="661">
        <f>+EP66</f>
        <v>294564.67574999994</v>
      </c>
      <c r="EO67" s="630">
        <f t="shared" ref="EO67:EO76" si="62">+EO66</f>
        <v>49785.578999999998</v>
      </c>
      <c r="EP67" s="630">
        <f t="shared" si="38"/>
        <v>244779.09674999994</v>
      </c>
      <c r="EQ67" s="662">
        <f t="shared" si="51"/>
        <v>99540.960113746129</v>
      </c>
      <c r="ER67" s="661">
        <f>+ET66</f>
        <v>1141440.2414999998</v>
      </c>
      <c r="ES67" s="630">
        <f t="shared" ref="ES67:ES76" si="63">+ES66</f>
        <v>175606.19100000002</v>
      </c>
      <c r="ET67" s="630">
        <f t="shared" si="39"/>
        <v>965834.05049999978</v>
      </c>
      <c r="EU67" s="662">
        <f t="shared" si="52"/>
        <v>371927.86189962365</v>
      </c>
      <c r="EW67" s="661"/>
      <c r="EX67" s="630"/>
      <c r="EY67" s="630"/>
      <c r="EZ67" s="662"/>
      <c r="FA67" s="661"/>
      <c r="FB67" s="630"/>
      <c r="FC67" s="630"/>
      <c r="FD67" s="662"/>
    </row>
    <row r="68" spans="1:160">
      <c r="A68" s="753" t="s">
        <v>23</v>
      </c>
      <c r="B68" s="774">
        <f t="shared" si="0"/>
        <v>2020</v>
      </c>
      <c r="C68" s="775">
        <f>+C67</f>
        <v>14599687.47897727</v>
      </c>
      <c r="D68" s="775">
        <f>+D67</f>
        <v>445791.98409090913</v>
      </c>
      <c r="E68" s="775">
        <f t="shared" si="6"/>
        <v>14153895.494886361</v>
      </c>
      <c r="F68" s="757">
        <f>+C$29*E68+D68</f>
        <v>3082098.6380397482</v>
      </c>
      <c r="G68" s="775">
        <f>+G67</f>
        <v>3764824.3602272701</v>
      </c>
      <c r="H68" s="775">
        <f>+H67</f>
        <v>115840.74954545456</v>
      </c>
      <c r="I68" s="775">
        <f t="shared" si="7"/>
        <v>3648983.6106818155</v>
      </c>
      <c r="J68" s="757">
        <f>+G$29*I68+H68</f>
        <v>795500.97287169483</v>
      </c>
      <c r="K68" s="776">
        <f>+K67</f>
        <v>9697077.4160795398</v>
      </c>
      <c r="L68" s="775">
        <f>+L67</f>
        <v>305419.76113636367</v>
      </c>
      <c r="M68" s="775">
        <f t="shared" si="8"/>
        <v>9391657.6549431756</v>
      </c>
      <c r="N68" s="757">
        <f>+K$29*M68+L68</f>
        <v>2054711.295490386</v>
      </c>
      <c r="O68" s="776">
        <f>+O67</f>
        <v>4036868.7651515137</v>
      </c>
      <c r="P68" s="775">
        <f>+P67</f>
        <v>119316.31818181818</v>
      </c>
      <c r="Q68" s="775">
        <f t="shared" si="11"/>
        <v>3917552.4469696954</v>
      </c>
      <c r="R68" s="757">
        <f>+O$29*Q68+P68</f>
        <v>849000.21240522154</v>
      </c>
      <c r="S68" s="661">
        <f>+S67</f>
        <v>1875821.858787877</v>
      </c>
      <c r="T68" s="630">
        <f>+T67</f>
        <v>58315.705454545445</v>
      </c>
      <c r="U68" s="630">
        <f t="shared" si="12"/>
        <v>1817506.1533333315</v>
      </c>
      <c r="V68" s="662">
        <f>+S$29*U68+T68</f>
        <v>396844.66854860925</v>
      </c>
      <c r="W68" s="661">
        <f>+W67</f>
        <v>23456433.928030305</v>
      </c>
      <c r="X68" s="630">
        <f>+X67</f>
        <v>693293.61363636365</v>
      </c>
      <c r="Y68" s="630">
        <f t="shared" si="13"/>
        <v>22763140.314393941</v>
      </c>
      <c r="Z68" s="662">
        <f>+W$29*Y68+X68</f>
        <v>4933159.4722820595</v>
      </c>
      <c r="AA68" s="661">
        <f>+AA67</f>
        <v>15290762.60416666</v>
      </c>
      <c r="AB68" s="630">
        <f>+AB67</f>
        <v>450833.29545454547</v>
      </c>
      <c r="AC68" s="630">
        <f t="shared" si="14"/>
        <v>14839929.308712116</v>
      </c>
      <c r="AD68" s="662">
        <f>+AA$29*AC68+AB68</f>
        <v>3214920.7083383477</v>
      </c>
      <c r="AE68" s="661">
        <f>+AE67</f>
        <v>154029.19318181829</v>
      </c>
      <c r="AF68" s="630">
        <f>+AF67</f>
        <v>4597.886363636364</v>
      </c>
      <c r="AG68" s="630">
        <f t="shared" si="15"/>
        <v>149431.30681818194</v>
      </c>
      <c r="AH68" s="662">
        <f>+AE$29*AG68+AF68</f>
        <v>32430.983521614675</v>
      </c>
      <c r="AI68" s="661">
        <f>+AI67</f>
        <v>10294902.208333334</v>
      </c>
      <c r="AJ68" s="630">
        <f>+AJ67</f>
        <v>295547.43181818182</v>
      </c>
      <c r="AK68" s="630">
        <f t="shared" si="19"/>
        <v>9999354.7765151523</v>
      </c>
      <c r="AL68" s="662">
        <f>+AI$29*AK68+AJ68</f>
        <v>2158028.7213010709</v>
      </c>
      <c r="AM68" s="661">
        <f>+AM67</f>
        <v>3824908.5910227261</v>
      </c>
      <c r="AN68" s="630">
        <f>+AN67</f>
        <v>110866.91568181818</v>
      </c>
      <c r="AO68" s="630">
        <f t="shared" si="16"/>
        <v>3714041.6753409081</v>
      </c>
      <c r="AP68" s="662">
        <f>+AM$29*AO68+AN68</f>
        <v>802644.8636878659</v>
      </c>
      <c r="AQ68" s="661">
        <f>+AQ67</f>
        <v>31446395.245227281</v>
      </c>
      <c r="AR68" s="630">
        <f>+AR67</f>
        <v>904932.23727272719</v>
      </c>
      <c r="AS68" s="630">
        <f t="shared" si="17"/>
        <v>30541463.007954553</v>
      </c>
      <c r="AT68" s="662">
        <f>+AQ$29*AS68+AR68</f>
        <v>6593589.6233819192</v>
      </c>
      <c r="AU68" s="776">
        <f>+AU67</f>
        <v>20875000</v>
      </c>
      <c r="AV68" s="775">
        <f>+AV67</f>
        <v>750000</v>
      </c>
      <c r="AW68" s="775">
        <f t="shared" si="1"/>
        <v>20125000</v>
      </c>
      <c r="AX68" s="757">
        <f>+AU$29*AW68+AV68</f>
        <v>750000</v>
      </c>
      <c r="AY68" s="776">
        <f>+AY67</f>
        <v>13583333.333333332</v>
      </c>
      <c r="AZ68" s="775">
        <f>+AZ67</f>
        <v>500000</v>
      </c>
      <c r="BA68" s="775">
        <f t="shared" si="2"/>
        <v>13083333.333333332</v>
      </c>
      <c r="BB68" s="757">
        <f>+AY$29*BA68+AZ68</f>
        <v>500000</v>
      </c>
      <c r="BC68" s="776">
        <f>+BC67</f>
        <v>21250000</v>
      </c>
      <c r="BD68" s="775">
        <f>+BD67</f>
        <v>750000</v>
      </c>
      <c r="BE68" s="775">
        <f t="shared" si="4"/>
        <v>20500000</v>
      </c>
      <c r="BF68" s="757">
        <f>+BC$29*BE68+BD68</f>
        <v>750000</v>
      </c>
      <c r="BG68" s="776">
        <f>+BG67</f>
        <v>13666666.666666672</v>
      </c>
      <c r="BH68" s="775">
        <f>+BH67</f>
        <v>571428.57142857148</v>
      </c>
      <c r="BI68" s="775">
        <f t="shared" si="5"/>
        <v>13095238.095238101</v>
      </c>
      <c r="BJ68" s="757">
        <f>+BG$29*BI68+BH68</f>
        <v>571428.57142857148</v>
      </c>
      <c r="BK68" s="776">
        <f>+BK67</f>
        <v>17600000</v>
      </c>
      <c r="BL68" s="775">
        <f>+BL67</f>
        <v>1200000</v>
      </c>
      <c r="BM68" s="775">
        <f t="shared" si="9"/>
        <v>16400000</v>
      </c>
      <c r="BN68" s="757">
        <f>+BK$29*BM68+BL68</f>
        <v>1200000</v>
      </c>
      <c r="BO68" s="776">
        <f>+BO67</f>
        <v>13166666.666666664</v>
      </c>
      <c r="BP68" s="775">
        <f>+BP67</f>
        <v>666666.66666666663</v>
      </c>
      <c r="BQ68" s="775">
        <f t="shared" si="10"/>
        <v>12499999.999999998</v>
      </c>
      <c r="BR68" s="757">
        <f>+BO$29*BQ68+BP68</f>
        <v>666666.66666666663</v>
      </c>
      <c r="BS68" s="661">
        <f>+BS67</f>
        <v>290881.02272727282</v>
      </c>
      <c r="BT68" s="630">
        <f>+BT67</f>
        <v>8310.886363636364</v>
      </c>
      <c r="BU68" s="630">
        <f t="shared" si="18"/>
        <v>282570.13636363647</v>
      </c>
      <c r="BV68" s="662">
        <f>+BS$29*BU68+BT68</f>
        <v>60942.441469566344</v>
      </c>
      <c r="BW68" s="661">
        <f>+BW67</f>
        <v>20333653.26136364</v>
      </c>
      <c r="BX68" s="630">
        <f>+BX67</f>
        <v>576841.22727272729</v>
      </c>
      <c r="BY68" s="630">
        <f t="shared" si="20"/>
        <v>19756812.034090914</v>
      </c>
      <c r="BZ68" s="662">
        <f>+BW$29*BY68+BX68</f>
        <v>4099609.8806541469</v>
      </c>
      <c r="CA68" s="661">
        <f>+CA67</f>
        <v>1918795.6800000006</v>
      </c>
      <c r="CB68" s="630">
        <f>+CB67</f>
        <v>54433.919999999998</v>
      </c>
      <c r="CC68" s="630">
        <f t="shared" si="21"/>
        <v>1864361.7600000007</v>
      </c>
      <c r="CD68" s="662">
        <f>+CA$29*CC68+CB68</f>
        <v>401690.21527443617</v>
      </c>
      <c r="CE68" s="661">
        <f>+CE67</f>
        <v>166557.27545454551</v>
      </c>
      <c r="CF68" s="630">
        <f>+CF67</f>
        <v>4725.0290909090909</v>
      </c>
      <c r="CG68" s="630">
        <f t="shared" si="22"/>
        <v>161832.24636363643</v>
      </c>
      <c r="CH68" s="662">
        <f>+CE$29*CG68+CF68</f>
        <v>34867.92707020267</v>
      </c>
      <c r="CI68" s="661">
        <f>+CI67</f>
        <v>448148.86363636353</v>
      </c>
      <c r="CJ68" s="630">
        <f>+CJ67</f>
        <v>12362.727272727272</v>
      </c>
      <c r="CK68" s="630">
        <f t="shared" si="24"/>
        <v>435786.13636363624</v>
      </c>
      <c r="CL68" s="662">
        <f>+CI$29*CK68+CJ68</f>
        <v>90066.242298888101</v>
      </c>
      <c r="CM68" s="661">
        <f>+CM67</f>
        <v>19468588.866761364</v>
      </c>
      <c r="CN68" s="630">
        <f>+CN67</f>
        <v>483691.64886363636</v>
      </c>
      <c r="CO68" s="630">
        <f t="shared" si="35"/>
        <v>18984897.217897728</v>
      </c>
      <c r="CP68" s="662">
        <f>+CM$29*CO68+CN68</f>
        <v>3868822.8477370185</v>
      </c>
      <c r="CQ68" s="661">
        <f>+CQ67</f>
        <v>82222740.545965895</v>
      </c>
      <c r="CR68" s="630">
        <f>+CR67</f>
        <v>2017735.9643181816</v>
      </c>
      <c r="CS68" s="630">
        <f t="shared" si="40"/>
        <v>80205004.581647709</v>
      </c>
      <c r="CT68" s="662">
        <f>+CQ$29*CS68+CR68</f>
        <v>16318812.246109238</v>
      </c>
      <c r="CU68" s="661">
        <f>+CU67</f>
        <v>27724010.272500005</v>
      </c>
      <c r="CV68" s="630">
        <f>+CV67</f>
        <v>676195.37250000006</v>
      </c>
      <c r="CW68" s="630">
        <f t="shared" si="41"/>
        <v>27047814.900000006</v>
      </c>
      <c r="CX68" s="662">
        <f>+CU$29*CW68+CV68</f>
        <v>5498997.4676846471</v>
      </c>
      <c r="CY68" s="782">
        <f t="shared" si="25"/>
        <v>29600106.866635781</v>
      </c>
      <c r="CZ68" s="779">
        <f>+CY68</f>
        <v>29600106.866635781</v>
      </c>
      <c r="DA68" s="752"/>
      <c r="DD68" s="661">
        <f>+DD67</f>
        <v>5294635.8333333358</v>
      </c>
      <c r="DE68" s="630">
        <f t="shared" si="53"/>
        <v>1270712.6000000001</v>
      </c>
      <c r="DF68" s="630">
        <f t="shared" si="26"/>
        <v>4023923.2333333357</v>
      </c>
      <c r="DG68" s="662">
        <f t="shared" si="42"/>
        <v>2088641.2413963687</v>
      </c>
      <c r="DH68" s="661">
        <f>+DH67</f>
        <v>4472021.9999999981</v>
      </c>
      <c r="DI68" s="630">
        <f t="shared" si="54"/>
        <v>894404.4</v>
      </c>
      <c r="DJ68" s="630">
        <f t="shared" si="27"/>
        <v>3577617.5999999982</v>
      </c>
      <c r="DK68" s="662">
        <f t="shared" si="43"/>
        <v>1621614.0740721622</v>
      </c>
      <c r="DL68" s="661">
        <f>+DL67</f>
        <v>690588.07241666643</v>
      </c>
      <c r="DM68" s="630">
        <f t="shared" si="55"/>
        <v>140458.59099999999</v>
      </c>
      <c r="DN68" s="630">
        <f t="shared" si="28"/>
        <v>550129.48141666641</v>
      </c>
      <c r="DO68" s="662">
        <f t="shared" si="44"/>
        <v>252281.46465717949</v>
      </c>
      <c r="DP68" s="661">
        <f>+DP67</f>
        <v>84801.500000000015</v>
      </c>
      <c r="DQ68" s="630">
        <f t="shared" si="56"/>
        <v>16960.3</v>
      </c>
      <c r="DR68" s="630">
        <f t="shared" si="29"/>
        <v>67841.200000000012</v>
      </c>
      <c r="DS68" s="662">
        <f t="shared" si="45"/>
        <v>30750.140742248244</v>
      </c>
      <c r="DT68" s="661">
        <f>+DT67</f>
        <v>6477.8943333333336</v>
      </c>
      <c r="DU68" s="630">
        <f t="shared" si="57"/>
        <v>1253.7860000000001</v>
      </c>
      <c r="DV68" s="630">
        <f t="shared" si="34"/>
        <v>5224.1083333333336</v>
      </c>
      <c r="DW68" s="662">
        <f t="shared" si="46"/>
        <v>2315.6720211334496</v>
      </c>
      <c r="DX68" s="661">
        <f>+DX67</f>
        <v>21174614.894999996</v>
      </c>
      <c r="DY68" s="630">
        <f t="shared" si="58"/>
        <v>4033259.9799999995</v>
      </c>
      <c r="DZ68" s="630">
        <f t="shared" si="30"/>
        <v>17141354.914999995</v>
      </c>
      <c r="EA68" s="662">
        <f t="shared" si="47"/>
        <v>7517522.5576696768</v>
      </c>
      <c r="EB68" s="661">
        <f>+EB67</f>
        <v>296214.49283333338</v>
      </c>
      <c r="EC68" s="630">
        <f t="shared" si="59"/>
        <v>53053.342000000004</v>
      </c>
      <c r="ED68" s="630">
        <f t="shared" si="31"/>
        <v>243161.15083333338</v>
      </c>
      <c r="EE68" s="662">
        <f t="shared" si="48"/>
        <v>102479.84897059415</v>
      </c>
      <c r="EF68" s="661">
        <f>+EF67</f>
        <v>-300979.04149999988</v>
      </c>
      <c r="EG68" s="630">
        <f t="shared" si="60"/>
        <v>-53906.693999999974</v>
      </c>
      <c r="EH68" s="630">
        <f t="shared" si="32"/>
        <v>-247072.34749999992</v>
      </c>
      <c r="EI68" s="662">
        <f t="shared" si="49"/>
        <v>-104128.21608154356</v>
      </c>
      <c r="EJ68" s="661">
        <f>+EJ67</f>
        <v>19410549.380833339</v>
      </c>
      <c r="EK68" s="630">
        <f t="shared" si="61"/>
        <v>3327522.7509999997</v>
      </c>
      <c r="EL68" s="630">
        <f t="shared" si="33"/>
        <v>16083026.629833339</v>
      </c>
      <c r="EM68" s="662">
        <f t="shared" si="50"/>
        <v>6596662.6818788648</v>
      </c>
      <c r="EN68" s="661">
        <f>+EN67</f>
        <v>294564.67574999994</v>
      </c>
      <c r="EO68" s="630">
        <f t="shared" si="62"/>
        <v>49785.578999999998</v>
      </c>
      <c r="EP68" s="630">
        <f t="shared" si="38"/>
        <v>244779.09674999994</v>
      </c>
      <c r="EQ68" s="662">
        <f t="shared" si="51"/>
        <v>99540.960113746129</v>
      </c>
      <c r="ER68" s="661">
        <f>+ER67</f>
        <v>1141440.2414999998</v>
      </c>
      <c r="ES68" s="630">
        <f t="shared" si="63"/>
        <v>175606.19100000002</v>
      </c>
      <c r="ET68" s="630">
        <f t="shared" si="39"/>
        <v>965834.05049999978</v>
      </c>
      <c r="EU68" s="662">
        <f t="shared" si="52"/>
        <v>371927.86189962365</v>
      </c>
      <c r="EW68" s="661"/>
      <c r="EX68" s="630"/>
      <c r="EY68" s="630"/>
      <c r="EZ68" s="662"/>
      <c r="FA68" s="661"/>
      <c r="FB68" s="630"/>
      <c r="FC68" s="630"/>
      <c r="FD68" s="662"/>
    </row>
    <row r="69" spans="1:160">
      <c r="A69" s="753" t="s">
        <v>24</v>
      </c>
      <c r="B69" s="774">
        <f t="shared" si="0"/>
        <v>2021</v>
      </c>
      <c r="C69" s="775">
        <f>+E68</f>
        <v>14153895.494886361</v>
      </c>
      <c r="D69" s="775">
        <f>+C$31</f>
        <v>445791.98409090913</v>
      </c>
      <c r="E69" s="775">
        <f t="shared" si="6"/>
        <v>13708103.510795452</v>
      </c>
      <c r="F69" s="757">
        <f>+C$28*E69+D69</f>
        <v>2890036.3926428286</v>
      </c>
      <c r="G69" s="775">
        <f>+I68</f>
        <v>3648983.6106818155</v>
      </c>
      <c r="H69" s="775">
        <f>+G$31</f>
        <v>115840.74954545456</v>
      </c>
      <c r="I69" s="775">
        <f t="shared" si="7"/>
        <v>3533142.861136361</v>
      </c>
      <c r="J69" s="757">
        <f>+G$28*I69+H69</f>
        <v>745823.20307352557</v>
      </c>
      <c r="K69" s="776">
        <f>+M68</f>
        <v>9391657.6549431756</v>
      </c>
      <c r="L69" s="775">
        <f>+K$31</f>
        <v>305419.76113636367</v>
      </c>
      <c r="M69" s="775">
        <f t="shared" si="8"/>
        <v>9086237.8938068114</v>
      </c>
      <c r="N69" s="757">
        <f>+K$28*M69+L69</f>
        <v>1925555.3363616148</v>
      </c>
      <c r="O69" s="776">
        <f>+Q68</f>
        <v>3917552.4469696954</v>
      </c>
      <c r="P69" s="775">
        <f>+O$31</f>
        <v>119316.31818181818</v>
      </c>
      <c r="Q69" s="775">
        <f t="shared" si="11"/>
        <v>3798236.128787877</v>
      </c>
      <c r="R69" s="757">
        <f>+O$28*Q69+P69</f>
        <v>796566.63313883869</v>
      </c>
      <c r="S69" s="661">
        <f>+U68</f>
        <v>1817506.1533333315</v>
      </c>
      <c r="T69" s="630">
        <f>+S$31</f>
        <v>58315.705454545445</v>
      </c>
      <c r="U69" s="630">
        <f t="shared" si="12"/>
        <v>1759190.4478787859</v>
      </c>
      <c r="V69" s="662">
        <f>+S$28*U69+T69</f>
        <v>371990.85478642822</v>
      </c>
      <c r="W69" s="661">
        <f>+Y68</f>
        <v>22763140.314393941</v>
      </c>
      <c r="X69" s="630">
        <f>+W$31</f>
        <v>693293.61363636365</v>
      </c>
      <c r="Y69" s="630">
        <f t="shared" si="13"/>
        <v>22069846.700757578</v>
      </c>
      <c r="Z69" s="662">
        <f>+W$28*Y69+X69</f>
        <v>4628491.4587243078</v>
      </c>
      <c r="AA69" s="661">
        <f>+AC68</f>
        <v>14839929.308712116</v>
      </c>
      <c r="AB69" s="630">
        <f>+AA$31</f>
        <v>450833.29545454547</v>
      </c>
      <c r="AC69" s="630">
        <f t="shared" si="14"/>
        <v>14389096.013257571</v>
      </c>
      <c r="AD69" s="662">
        <f>+AA$28*AC69+AB69</f>
        <v>3016503.1159971152</v>
      </c>
      <c r="AE69" s="661">
        <f>+AG68</f>
        <v>149431.30681818194</v>
      </c>
      <c r="AF69" s="630">
        <f>+AE$31</f>
        <v>4597.886363636364</v>
      </c>
      <c r="AG69" s="630">
        <f t="shared" si="15"/>
        <v>144833.42045454559</v>
      </c>
      <c r="AH69" s="662">
        <f>+AE$28*AG69+AF69</f>
        <v>30422.631401393231</v>
      </c>
      <c r="AI69" s="661">
        <f>+AK68</f>
        <v>9999354.7765151523</v>
      </c>
      <c r="AJ69" s="630">
        <f>+AI$31</f>
        <v>295547.43181818182</v>
      </c>
      <c r="AK69" s="630">
        <f t="shared" si="19"/>
        <v>9703807.3446969707</v>
      </c>
      <c r="AL69" s="662">
        <f>+AI$28*AK69+AJ69</f>
        <v>2025799.6746074029</v>
      </c>
      <c r="AM69" s="661">
        <f>+AO68</f>
        <v>3714041.6753409081</v>
      </c>
      <c r="AN69" s="630">
        <f>+AM$31</f>
        <v>110866.91568181818</v>
      </c>
      <c r="AO69" s="630">
        <f t="shared" si="16"/>
        <v>3603174.7596590901</v>
      </c>
      <c r="AP69" s="662">
        <f>+AM$28*AO69+AN69</f>
        <v>753336.51422230108</v>
      </c>
      <c r="AQ69" s="661">
        <f>+AS68</f>
        <v>30541463.007954553</v>
      </c>
      <c r="AR69" s="630">
        <f>+AQ$31</f>
        <v>904932.23727272719</v>
      </c>
      <c r="AS69" s="630">
        <f t="shared" si="17"/>
        <v>29636530.770681825</v>
      </c>
      <c r="AT69" s="662">
        <f>+AQ$28*AS69+AR69</f>
        <v>6189319.283815572</v>
      </c>
      <c r="AU69" s="776">
        <f>+AW68</f>
        <v>20125000</v>
      </c>
      <c r="AV69" s="775">
        <f>+AU$31</f>
        <v>750000</v>
      </c>
      <c r="AW69" s="775">
        <f t="shared" si="1"/>
        <v>19375000</v>
      </c>
      <c r="AX69" s="757">
        <f>+AU$28*AW69+AV69</f>
        <v>750000</v>
      </c>
      <c r="AY69" s="776">
        <f>+BA68</f>
        <v>13083333.333333332</v>
      </c>
      <c r="AZ69" s="775">
        <f>+AY$31</f>
        <v>500000</v>
      </c>
      <c r="BA69" s="775">
        <f t="shared" si="2"/>
        <v>12583333.333333332</v>
      </c>
      <c r="BB69" s="757">
        <f>+AY$28*BA69+AZ69</f>
        <v>500000</v>
      </c>
      <c r="BC69" s="776">
        <f>+BE68</f>
        <v>20500000</v>
      </c>
      <c r="BD69" s="775">
        <f>+BC$31</f>
        <v>750000</v>
      </c>
      <c r="BE69" s="775">
        <f t="shared" si="4"/>
        <v>19750000</v>
      </c>
      <c r="BF69" s="757">
        <f>+BC$28*BE69+BD69</f>
        <v>750000</v>
      </c>
      <c r="BG69" s="776">
        <f>+BI68</f>
        <v>13095238.095238101</v>
      </c>
      <c r="BH69" s="775">
        <f>+BG$31</f>
        <v>571428.57142857148</v>
      </c>
      <c r="BI69" s="775">
        <f t="shared" si="5"/>
        <v>12523809.52380953</v>
      </c>
      <c r="BJ69" s="757">
        <f>+BG$28*BI69+BH69</f>
        <v>571428.57142857148</v>
      </c>
      <c r="BK69" s="776">
        <f>+BM68</f>
        <v>16400000</v>
      </c>
      <c r="BL69" s="775">
        <f>+BK$31</f>
        <v>1200000</v>
      </c>
      <c r="BM69" s="775">
        <f t="shared" si="9"/>
        <v>15200000</v>
      </c>
      <c r="BN69" s="757">
        <f>+BK$28*BM69+BL69</f>
        <v>1200000</v>
      </c>
      <c r="BO69" s="776">
        <f>+BQ68</f>
        <v>12499999.999999998</v>
      </c>
      <c r="BP69" s="775">
        <f>+BO$31</f>
        <v>666666.66666666663</v>
      </c>
      <c r="BQ69" s="775">
        <f t="shared" si="10"/>
        <v>11833333.333333332</v>
      </c>
      <c r="BR69" s="757">
        <f>+BO$28*BQ69+BP69</f>
        <v>666666.66666666663</v>
      </c>
      <c r="BS69" s="661">
        <f>+BU68</f>
        <v>282570.13636363647</v>
      </c>
      <c r="BT69" s="630">
        <f>+BS$31</f>
        <v>8310.886363636364</v>
      </c>
      <c r="BU69" s="630">
        <f t="shared" si="18"/>
        <v>274259.25000000012</v>
      </c>
      <c r="BV69" s="662">
        <f>+BS$28*BU69+BT69</f>
        <v>57213.102325036263</v>
      </c>
      <c r="BW69" s="661">
        <f>+BY68</f>
        <v>19756812.034090914</v>
      </c>
      <c r="BX69" s="630">
        <f>+BW$31</f>
        <v>576841.22727272729</v>
      </c>
      <c r="BY69" s="630">
        <f t="shared" si="20"/>
        <v>19179970.806818187</v>
      </c>
      <c r="BZ69" s="662">
        <f>+BW$28*BY69+BX69</f>
        <v>3996755.3214313313</v>
      </c>
      <c r="CA69" s="661">
        <f>+CC68</f>
        <v>1864361.7600000007</v>
      </c>
      <c r="CB69" s="630">
        <f>+CA$31</f>
        <v>54433.919999999998</v>
      </c>
      <c r="CC69" s="630">
        <f t="shared" si="21"/>
        <v>1809927.8400000008</v>
      </c>
      <c r="CD69" s="662">
        <f>+CA$28*CC69+CB69</f>
        <v>377155.87780536135</v>
      </c>
      <c r="CE69" s="661">
        <f>+CG68</f>
        <v>161832.24636363643</v>
      </c>
      <c r="CF69" s="630">
        <f>+CE$31</f>
        <v>4725.0290909090909</v>
      </c>
      <c r="CG69" s="630">
        <f t="shared" si="22"/>
        <v>157107.21727272734</v>
      </c>
      <c r="CH69" s="662">
        <f>+CE$28*CG69+CF69</f>
        <v>32738.272283856957</v>
      </c>
      <c r="CI69" s="661">
        <f>+CK68</f>
        <v>435786.13636363624</v>
      </c>
      <c r="CJ69" s="630">
        <f>+CI$31</f>
        <v>12362.727272727272</v>
      </c>
      <c r="CK69" s="630">
        <f t="shared" si="24"/>
        <v>423423.40909090894</v>
      </c>
      <c r="CL69" s="662">
        <f>+CI$28*CK69+CJ69</f>
        <v>87861.887262684962</v>
      </c>
      <c r="CM69" s="661">
        <f>+CO68</f>
        <v>18984897.217897728</v>
      </c>
      <c r="CN69" s="630">
        <f>+CM$31</f>
        <v>483691.64886363636</v>
      </c>
      <c r="CO69" s="630">
        <f t="shared" si="35"/>
        <v>18501205.569034092</v>
      </c>
      <c r="CP69" s="662">
        <f>+CM$28*CO69+CN69</f>
        <v>3782577.4668740025</v>
      </c>
      <c r="CQ69" s="661">
        <f>+CS68</f>
        <v>80205004.581647709</v>
      </c>
      <c r="CR69" s="630">
        <f>+CQ$31</f>
        <v>2017735.9643181816</v>
      </c>
      <c r="CS69" s="630">
        <f t="shared" si="40"/>
        <v>78187268.617329523</v>
      </c>
      <c r="CT69" s="662">
        <f>+CQ$28*CS69+CR69</f>
        <v>15959036.742164807</v>
      </c>
      <c r="CU69" s="661">
        <f>+CW68</f>
        <v>27047814.900000006</v>
      </c>
      <c r="CV69" s="630">
        <f>+CU$31</f>
        <v>676195.37250000006</v>
      </c>
      <c r="CW69" s="630">
        <f t="shared" si="41"/>
        <v>26371619.527500007</v>
      </c>
      <c r="CX69" s="662">
        <f>+CU$28*CW69+CV69</f>
        <v>5378427.4153050315</v>
      </c>
      <c r="CY69" s="782">
        <f t="shared" si="25"/>
        <v>27925569.559879594</v>
      </c>
      <c r="CZ69" s="756"/>
      <c r="DA69" s="778">
        <f>+CY69</f>
        <v>27925569.559879594</v>
      </c>
      <c r="DD69" s="661">
        <f>+DF68</f>
        <v>4023923.2333333357</v>
      </c>
      <c r="DE69" s="630">
        <f t="shared" si="53"/>
        <v>1270712.6000000001</v>
      </c>
      <c r="DF69" s="630">
        <f t="shared" si="26"/>
        <v>2753210.6333333356</v>
      </c>
      <c r="DG69" s="662">
        <f t="shared" si="42"/>
        <v>1830347.9862185682</v>
      </c>
      <c r="DH69" s="661">
        <f>+DJ68</f>
        <v>3577617.5999999982</v>
      </c>
      <c r="DI69" s="630">
        <f t="shared" si="54"/>
        <v>894404.4</v>
      </c>
      <c r="DJ69" s="630">
        <f t="shared" si="27"/>
        <v>2683213.1999999983</v>
      </c>
      <c r="DK69" s="662">
        <f t="shared" si="43"/>
        <v>1439811.6555541214</v>
      </c>
      <c r="DL69" s="661">
        <f>+DN68</f>
        <v>550129.48141666641</v>
      </c>
      <c r="DM69" s="630">
        <f t="shared" si="55"/>
        <v>140458.59099999999</v>
      </c>
      <c r="DN69" s="630">
        <f t="shared" si="28"/>
        <v>409670.8904166664</v>
      </c>
      <c r="DO69" s="662">
        <f t="shared" si="44"/>
        <v>223730.9437234315</v>
      </c>
      <c r="DP69" s="661">
        <f>+DR68</f>
        <v>67841.200000000012</v>
      </c>
      <c r="DQ69" s="630">
        <f t="shared" si="56"/>
        <v>16960.3</v>
      </c>
      <c r="DR69" s="630">
        <f t="shared" si="29"/>
        <v>50880.900000000009</v>
      </c>
      <c r="DS69" s="662">
        <f t="shared" si="45"/>
        <v>27302.680556686184</v>
      </c>
      <c r="DT69" s="661">
        <f>+DV68</f>
        <v>5224.1083333333336</v>
      </c>
      <c r="DU69" s="630">
        <f t="shared" si="57"/>
        <v>1253.7860000000001</v>
      </c>
      <c r="DV69" s="630">
        <f t="shared" si="34"/>
        <v>3970.3223333333335</v>
      </c>
      <c r="DW69" s="662">
        <f t="shared" si="46"/>
        <v>2060.8193760614217</v>
      </c>
      <c r="DX69" s="661">
        <f>+DZ68</f>
        <v>17141354.914999995</v>
      </c>
      <c r="DY69" s="630">
        <f t="shared" si="58"/>
        <v>4033259.9799999995</v>
      </c>
      <c r="DZ69" s="630">
        <f t="shared" si="30"/>
        <v>13108094.934999995</v>
      </c>
      <c r="EA69" s="662">
        <f t="shared" si="47"/>
        <v>6697696.0688062236</v>
      </c>
      <c r="EB69" s="661">
        <f>+ED68</f>
        <v>243161.15083333338</v>
      </c>
      <c r="EC69" s="630">
        <f t="shared" si="59"/>
        <v>53053.342000000004</v>
      </c>
      <c r="ED69" s="630">
        <f t="shared" si="31"/>
        <v>190107.80883333337</v>
      </c>
      <c r="EE69" s="662">
        <f t="shared" si="48"/>
        <v>91695.883813373599</v>
      </c>
      <c r="EF69" s="661">
        <f>+EH68</f>
        <v>-247072.34749999992</v>
      </c>
      <c r="EG69" s="630">
        <f t="shared" si="60"/>
        <v>-53906.693999999974</v>
      </c>
      <c r="EH69" s="630">
        <f t="shared" si="32"/>
        <v>-193165.65349999996</v>
      </c>
      <c r="EI69" s="662">
        <f t="shared" si="49"/>
        <v>-93170.793081934069</v>
      </c>
      <c r="EJ69" s="661">
        <f>+EL68</f>
        <v>16083026.629833339</v>
      </c>
      <c r="EK69" s="630">
        <f t="shared" si="61"/>
        <v>3327522.7509999997</v>
      </c>
      <c r="EL69" s="630">
        <f t="shared" si="33"/>
        <v>12755503.878833339</v>
      </c>
      <c r="EM69" s="662">
        <f t="shared" si="50"/>
        <v>5920288.9030763414</v>
      </c>
      <c r="EN69" s="661">
        <f>+EP68</f>
        <v>244779.09674999994</v>
      </c>
      <c r="EO69" s="630">
        <f t="shared" si="62"/>
        <v>49785.578999999998</v>
      </c>
      <c r="EP69" s="630">
        <f t="shared" si="38"/>
        <v>194993.51774999994</v>
      </c>
      <c r="EQ69" s="662">
        <f t="shared" si="51"/>
        <v>89421.221582136743</v>
      </c>
      <c r="ER69" s="661">
        <f>+ET68</f>
        <v>965834.05049999978</v>
      </c>
      <c r="ES69" s="630">
        <f t="shared" si="63"/>
        <v>175606.19100000002</v>
      </c>
      <c r="ET69" s="630">
        <f t="shared" si="39"/>
        <v>790227.85949999979</v>
      </c>
      <c r="EU69" s="662">
        <f t="shared" si="52"/>
        <v>336233.01264514658</v>
      </c>
      <c r="EW69" s="661"/>
      <c r="EX69" s="630"/>
      <c r="EY69" s="630"/>
      <c r="EZ69" s="662"/>
      <c r="FA69" s="661"/>
      <c r="FB69" s="630"/>
      <c r="FC69" s="630"/>
      <c r="FD69" s="662"/>
    </row>
    <row r="70" spans="1:160">
      <c r="A70" s="753" t="s">
        <v>23</v>
      </c>
      <c r="B70" s="774">
        <f t="shared" si="0"/>
        <v>2021</v>
      </c>
      <c r="C70" s="775">
        <f>+C69</f>
        <v>14153895.494886361</v>
      </c>
      <c r="D70" s="775">
        <f>+D69</f>
        <v>445791.98409090913</v>
      </c>
      <c r="E70" s="775">
        <f t="shared" si="6"/>
        <v>13708103.510795452</v>
      </c>
      <c r="F70" s="757">
        <f>+C$29*E70+D70</f>
        <v>2999065.3576004142</v>
      </c>
      <c r="G70" s="775">
        <f>+G69</f>
        <v>3648983.6106818155</v>
      </c>
      <c r="H70" s="775">
        <f>+H69</f>
        <v>115840.74954545456</v>
      </c>
      <c r="I70" s="775">
        <f t="shared" si="7"/>
        <v>3533142.861136361</v>
      </c>
      <c r="J70" s="757">
        <f>+G$29*I70+H70</f>
        <v>773924.45784546493</v>
      </c>
      <c r="K70" s="776">
        <f>+K69</f>
        <v>9391657.6549431756</v>
      </c>
      <c r="L70" s="775">
        <f>+L69</f>
        <v>305419.76113636367</v>
      </c>
      <c r="M70" s="775">
        <f t="shared" si="8"/>
        <v>9086237.8938068114</v>
      </c>
      <c r="N70" s="757">
        <f>+K$29*M70+L70</f>
        <v>1997823.7659178972</v>
      </c>
      <c r="O70" s="776">
        <f>+O69</f>
        <v>3917552.4469696954</v>
      </c>
      <c r="P70" s="775">
        <f>+P69</f>
        <v>119316.31818181818</v>
      </c>
      <c r="Q70" s="775">
        <f t="shared" si="11"/>
        <v>3798236.128787877</v>
      </c>
      <c r="R70" s="757">
        <f>+O$29*Q70+P70</f>
        <v>826776.33745425497</v>
      </c>
      <c r="S70" s="661">
        <f>+S69</f>
        <v>1817506.1533333315</v>
      </c>
      <c r="T70" s="630">
        <f>+T69</f>
        <v>58315.705454545445</v>
      </c>
      <c r="U70" s="630">
        <f t="shared" si="12"/>
        <v>1759190.4478787859</v>
      </c>
      <c r="V70" s="662">
        <f>+S$29*U70+T70</f>
        <v>385982.77668462857</v>
      </c>
      <c r="W70" s="661">
        <f>+W69</f>
        <v>22763140.314393941</v>
      </c>
      <c r="X70" s="630">
        <f>+X69</f>
        <v>693293.61363636365</v>
      </c>
      <c r="Y70" s="630">
        <f t="shared" si="13"/>
        <v>22069846.700757578</v>
      </c>
      <c r="Z70" s="662">
        <f>+W$29*Y70+X70</f>
        <v>4804026.5019679777</v>
      </c>
      <c r="AA70" s="661">
        <f>+AA69</f>
        <v>14839929.308712116</v>
      </c>
      <c r="AB70" s="630">
        <f>+AB69</f>
        <v>450833.29545454547</v>
      </c>
      <c r="AC70" s="630">
        <f t="shared" si="14"/>
        <v>14389096.013257571</v>
      </c>
      <c r="AD70" s="662">
        <f>+AA$29*AC70+AB70</f>
        <v>3130948.4325039033</v>
      </c>
      <c r="AE70" s="661">
        <f>+AE69</f>
        <v>149431.30681818194</v>
      </c>
      <c r="AF70" s="630">
        <f>+AF69</f>
        <v>4597.886363636364</v>
      </c>
      <c r="AG70" s="630">
        <f t="shared" si="15"/>
        <v>144833.42045454559</v>
      </c>
      <c r="AH70" s="662">
        <f>+AE$29*AG70+AF70</f>
        <v>31574.580532138421</v>
      </c>
      <c r="AI70" s="661">
        <f>+AI69</f>
        <v>9999354.7765151523</v>
      </c>
      <c r="AJ70" s="630">
        <f>+AJ69</f>
        <v>295547.43181818182</v>
      </c>
      <c r="AK70" s="630">
        <f t="shared" si="19"/>
        <v>9703807.3446969707</v>
      </c>
      <c r="AL70" s="662">
        <f>+AI$29*AK70+AJ70</f>
        <v>2102980.0132375369</v>
      </c>
      <c r="AM70" s="661">
        <f>+AM69</f>
        <v>3714041.6753409081</v>
      </c>
      <c r="AN70" s="630">
        <f>+AN69</f>
        <v>110866.91568181818</v>
      </c>
      <c r="AO70" s="630">
        <f t="shared" si="16"/>
        <v>3603174.7596590901</v>
      </c>
      <c r="AP70" s="662">
        <f>+AM$29*AO70+AN70</f>
        <v>781994.77568768535</v>
      </c>
      <c r="AQ70" s="661">
        <f>+AQ69</f>
        <v>30541463.007954553</v>
      </c>
      <c r="AR70" s="630">
        <f>+AR69</f>
        <v>904932.23727272719</v>
      </c>
      <c r="AS70" s="630">
        <f t="shared" si="17"/>
        <v>29636530.770681825</v>
      </c>
      <c r="AT70" s="662">
        <f>+AQ$29*AS70+AR70</f>
        <v>6425036.811941647</v>
      </c>
      <c r="AU70" s="776">
        <f>+AU69</f>
        <v>20125000</v>
      </c>
      <c r="AV70" s="775">
        <f>+AV69</f>
        <v>750000</v>
      </c>
      <c r="AW70" s="775">
        <f t="shared" si="1"/>
        <v>19375000</v>
      </c>
      <c r="AX70" s="757">
        <f>+AU$29*AW70+AV70</f>
        <v>750000</v>
      </c>
      <c r="AY70" s="776">
        <f>+AY69</f>
        <v>13083333.333333332</v>
      </c>
      <c r="AZ70" s="775">
        <f>+AZ69</f>
        <v>500000</v>
      </c>
      <c r="BA70" s="775">
        <f t="shared" si="2"/>
        <v>12583333.333333332</v>
      </c>
      <c r="BB70" s="757">
        <f>+AY$29*BA70+AZ70</f>
        <v>500000</v>
      </c>
      <c r="BC70" s="776">
        <f>+BC69</f>
        <v>20500000</v>
      </c>
      <c r="BD70" s="775">
        <f>+BD69</f>
        <v>750000</v>
      </c>
      <c r="BE70" s="775">
        <f t="shared" si="4"/>
        <v>19750000</v>
      </c>
      <c r="BF70" s="757">
        <f>+BC$29*BE70+BD70</f>
        <v>750000</v>
      </c>
      <c r="BG70" s="776">
        <f>+BG69</f>
        <v>13095238.095238101</v>
      </c>
      <c r="BH70" s="775">
        <f>+BH69</f>
        <v>571428.57142857148</v>
      </c>
      <c r="BI70" s="775">
        <f t="shared" si="5"/>
        <v>12523809.52380953</v>
      </c>
      <c r="BJ70" s="757">
        <f>+BG$29*BI70+BH70</f>
        <v>571428.57142857148</v>
      </c>
      <c r="BK70" s="776">
        <f>+BK69</f>
        <v>16400000</v>
      </c>
      <c r="BL70" s="775">
        <f>+BL69</f>
        <v>1200000</v>
      </c>
      <c r="BM70" s="775">
        <f t="shared" si="9"/>
        <v>15200000</v>
      </c>
      <c r="BN70" s="757">
        <f>+BK$29*BM70+BL70</f>
        <v>1200000</v>
      </c>
      <c r="BO70" s="776">
        <f>+BO69</f>
        <v>12499999.999999998</v>
      </c>
      <c r="BP70" s="775">
        <f>+BP69</f>
        <v>666666.66666666663</v>
      </c>
      <c r="BQ70" s="775">
        <f t="shared" si="10"/>
        <v>11833333.333333332</v>
      </c>
      <c r="BR70" s="757">
        <f>+BO$29*BQ70+BP70</f>
        <v>666666.66666666663</v>
      </c>
      <c r="BS70" s="661">
        <f>+BS69</f>
        <v>282570.13636363647</v>
      </c>
      <c r="BT70" s="630">
        <f>+BT69</f>
        <v>8310.886363636364</v>
      </c>
      <c r="BU70" s="630">
        <f t="shared" si="18"/>
        <v>274259.25000000012</v>
      </c>
      <c r="BV70" s="662">
        <f>+BS$29*BU70+BT70</f>
        <v>59394.454554686061</v>
      </c>
      <c r="BW70" s="661">
        <f>+BW69</f>
        <v>19756812.034090914</v>
      </c>
      <c r="BX70" s="630">
        <f>+BX69</f>
        <v>576841.22727272729</v>
      </c>
      <c r="BY70" s="630">
        <f t="shared" si="20"/>
        <v>19179970.806818187</v>
      </c>
      <c r="BZ70" s="662">
        <f>+BW$29*BY70+BX70</f>
        <v>3996755.3214313313</v>
      </c>
      <c r="CA70" s="661">
        <f>+CA69</f>
        <v>1864361.7600000007</v>
      </c>
      <c r="CB70" s="630">
        <f>+CB69</f>
        <v>54433.919999999998</v>
      </c>
      <c r="CC70" s="630">
        <f t="shared" si="21"/>
        <v>1809927.8400000008</v>
      </c>
      <c r="CD70" s="662">
        <f>+CA$29*CC70+CB70</f>
        <v>391551.34533941618</v>
      </c>
      <c r="CE70" s="661">
        <f>+CE69</f>
        <v>161832.24636363643</v>
      </c>
      <c r="CF70" s="630">
        <f>+CF69</f>
        <v>4725.0290909090909</v>
      </c>
      <c r="CG70" s="630">
        <f t="shared" si="22"/>
        <v>157107.21727272734</v>
      </c>
      <c r="CH70" s="662">
        <f>+CE$29*CG70+CF70</f>
        <v>33987.84245766855</v>
      </c>
      <c r="CI70" s="661">
        <f>+CI69</f>
        <v>435786.13636363624</v>
      </c>
      <c r="CJ70" s="630">
        <f>+CJ69</f>
        <v>12362.727272727272</v>
      </c>
      <c r="CK70" s="630">
        <f t="shared" si="24"/>
        <v>423423.40909090894</v>
      </c>
      <c r="CL70" s="662">
        <f>+CI$29*CK70+CJ70</f>
        <v>87861.887262684962</v>
      </c>
      <c r="CM70" s="661">
        <f>+CM69</f>
        <v>18984897.217897728</v>
      </c>
      <c r="CN70" s="630">
        <f>+CN69</f>
        <v>483691.64886363636</v>
      </c>
      <c r="CO70" s="630">
        <f t="shared" si="35"/>
        <v>18501205.569034092</v>
      </c>
      <c r="CP70" s="662">
        <f>+CM$29*CO70+CN70</f>
        <v>3782577.4668740025</v>
      </c>
      <c r="CQ70" s="661">
        <f>+CQ69</f>
        <v>80205004.581647709</v>
      </c>
      <c r="CR70" s="630">
        <f>+CR69</f>
        <v>2017735.9643181816</v>
      </c>
      <c r="CS70" s="630">
        <f t="shared" si="40"/>
        <v>78187268.617329523</v>
      </c>
      <c r="CT70" s="662">
        <f>+CQ$29*CS70+CR70</f>
        <v>15959036.742164807</v>
      </c>
      <c r="CU70" s="661">
        <f>+CU69</f>
        <v>27047814.900000006</v>
      </c>
      <c r="CV70" s="630">
        <f>+CV69</f>
        <v>676195.37250000006</v>
      </c>
      <c r="CW70" s="630">
        <f t="shared" si="41"/>
        <v>26371619.527500007</v>
      </c>
      <c r="CX70" s="662">
        <f>+CU$29*CW70+CV70</f>
        <v>5378427.4153050315</v>
      </c>
      <c r="CY70" s="782">
        <f t="shared" si="25"/>
        <v>28829684.662419334</v>
      </c>
      <c r="CZ70" s="779">
        <f>+CY70</f>
        <v>28829684.662419334</v>
      </c>
      <c r="DA70" s="752"/>
      <c r="DD70" s="661">
        <f>+DD69</f>
        <v>4023923.2333333357</v>
      </c>
      <c r="DE70" s="630">
        <f t="shared" si="53"/>
        <v>1270712.6000000001</v>
      </c>
      <c r="DF70" s="630">
        <f t="shared" si="26"/>
        <v>2753210.6333333356</v>
      </c>
      <c r="DG70" s="662">
        <f t="shared" si="42"/>
        <v>1830347.9862185682</v>
      </c>
      <c r="DH70" s="661">
        <f>+DH69</f>
        <v>3577617.5999999982</v>
      </c>
      <c r="DI70" s="630">
        <f t="shared" si="54"/>
        <v>894404.4</v>
      </c>
      <c r="DJ70" s="630">
        <f t="shared" si="27"/>
        <v>2683213.1999999983</v>
      </c>
      <c r="DK70" s="662">
        <f t="shared" si="43"/>
        <v>1439811.6555541214</v>
      </c>
      <c r="DL70" s="661">
        <f>+DL69</f>
        <v>550129.48141666641</v>
      </c>
      <c r="DM70" s="630">
        <f t="shared" si="55"/>
        <v>140458.59099999999</v>
      </c>
      <c r="DN70" s="630">
        <f t="shared" si="28"/>
        <v>409670.8904166664</v>
      </c>
      <c r="DO70" s="662">
        <f t="shared" si="44"/>
        <v>223730.9437234315</v>
      </c>
      <c r="DP70" s="661">
        <f>+DP69</f>
        <v>67841.200000000012</v>
      </c>
      <c r="DQ70" s="630">
        <f t="shared" si="56"/>
        <v>16960.3</v>
      </c>
      <c r="DR70" s="630">
        <f t="shared" si="29"/>
        <v>50880.900000000009</v>
      </c>
      <c r="DS70" s="662">
        <f t="shared" si="45"/>
        <v>27302.680556686184</v>
      </c>
      <c r="DT70" s="661">
        <f>+DT69</f>
        <v>5224.1083333333336</v>
      </c>
      <c r="DU70" s="630">
        <f t="shared" si="57"/>
        <v>1253.7860000000001</v>
      </c>
      <c r="DV70" s="630">
        <f t="shared" si="34"/>
        <v>3970.3223333333335</v>
      </c>
      <c r="DW70" s="662">
        <f t="shared" si="46"/>
        <v>2060.8193760614217</v>
      </c>
      <c r="DX70" s="661">
        <f>+DX69</f>
        <v>17141354.914999995</v>
      </c>
      <c r="DY70" s="630">
        <f t="shared" si="58"/>
        <v>4033259.9799999995</v>
      </c>
      <c r="DZ70" s="630">
        <f t="shared" si="30"/>
        <v>13108094.934999995</v>
      </c>
      <c r="EA70" s="662">
        <f t="shared" si="47"/>
        <v>6697696.0688062236</v>
      </c>
      <c r="EB70" s="661">
        <f>+EB69</f>
        <v>243161.15083333338</v>
      </c>
      <c r="EC70" s="630">
        <f t="shared" si="59"/>
        <v>53053.342000000004</v>
      </c>
      <c r="ED70" s="630">
        <f t="shared" si="31"/>
        <v>190107.80883333337</v>
      </c>
      <c r="EE70" s="662">
        <f t="shared" si="48"/>
        <v>91695.883813373599</v>
      </c>
      <c r="EF70" s="661">
        <f>+EF69</f>
        <v>-247072.34749999992</v>
      </c>
      <c r="EG70" s="630">
        <f t="shared" si="60"/>
        <v>-53906.693999999974</v>
      </c>
      <c r="EH70" s="630">
        <f t="shared" si="32"/>
        <v>-193165.65349999996</v>
      </c>
      <c r="EI70" s="662">
        <f t="shared" si="49"/>
        <v>-93170.793081934069</v>
      </c>
      <c r="EJ70" s="661">
        <f>+EJ69</f>
        <v>16083026.629833339</v>
      </c>
      <c r="EK70" s="630">
        <f t="shared" si="61"/>
        <v>3327522.7509999997</v>
      </c>
      <c r="EL70" s="630">
        <f t="shared" si="33"/>
        <v>12755503.878833339</v>
      </c>
      <c r="EM70" s="662">
        <f t="shared" si="50"/>
        <v>5920288.9030763414</v>
      </c>
      <c r="EN70" s="661">
        <f>+EN69</f>
        <v>244779.09674999994</v>
      </c>
      <c r="EO70" s="630">
        <f t="shared" si="62"/>
        <v>49785.578999999998</v>
      </c>
      <c r="EP70" s="630">
        <f t="shared" si="38"/>
        <v>194993.51774999994</v>
      </c>
      <c r="EQ70" s="662">
        <f t="shared" si="51"/>
        <v>89421.221582136743</v>
      </c>
      <c r="ER70" s="661">
        <f>+ER69</f>
        <v>965834.05049999978</v>
      </c>
      <c r="ES70" s="630">
        <f t="shared" si="63"/>
        <v>175606.19100000002</v>
      </c>
      <c r="ET70" s="630">
        <f t="shared" si="39"/>
        <v>790227.85949999979</v>
      </c>
      <c r="EU70" s="662">
        <f t="shared" si="52"/>
        <v>336233.01264514658</v>
      </c>
      <c r="EW70" s="661"/>
      <c r="EX70" s="630"/>
      <c r="EY70" s="630"/>
      <c r="EZ70" s="662"/>
      <c r="FA70" s="661"/>
      <c r="FB70" s="630"/>
      <c r="FC70" s="630"/>
      <c r="FD70" s="662"/>
    </row>
    <row r="71" spans="1:160">
      <c r="A71" s="753" t="s">
        <v>24</v>
      </c>
      <c r="B71" s="774">
        <f t="shared" si="0"/>
        <v>2022</v>
      </c>
      <c r="C71" s="775">
        <f>+E70</f>
        <v>13708103.510795452</v>
      </c>
      <c r="D71" s="775">
        <f>+C$31</f>
        <v>445791.98409090913</v>
      </c>
      <c r="E71" s="775">
        <f t="shared" si="6"/>
        <v>13262311.526704542</v>
      </c>
      <c r="F71" s="757">
        <f>+C$28*E71+D71</f>
        <v>2810548.7696004901</v>
      </c>
      <c r="G71" s="775">
        <f>+I70</f>
        <v>3533142.861136361</v>
      </c>
      <c r="H71" s="775">
        <f>+G$31</f>
        <v>115840.74954545456</v>
      </c>
      <c r="I71" s="775">
        <f t="shared" si="7"/>
        <v>3417302.1115909065</v>
      </c>
      <c r="J71" s="757">
        <f>+G$28*I71+H71</f>
        <v>725168.04066276911</v>
      </c>
      <c r="K71" s="776">
        <f>+M70</f>
        <v>9086237.8938068114</v>
      </c>
      <c r="L71" s="775">
        <f>+K$31</f>
        <v>305419.76113636367</v>
      </c>
      <c r="M71" s="775">
        <f t="shared" si="8"/>
        <v>8780818.1326704472</v>
      </c>
      <c r="N71" s="757">
        <f>+K$28*M71+L71</f>
        <v>1871096.9976985811</v>
      </c>
      <c r="O71" s="776">
        <f>+Q70</f>
        <v>3798236.128787877</v>
      </c>
      <c r="P71" s="775">
        <f>+O$31</f>
        <v>119316.31818181818</v>
      </c>
      <c r="Q71" s="775">
        <f t="shared" si="11"/>
        <v>3678919.8106060587</v>
      </c>
      <c r="R71" s="757">
        <f>+O$28*Q71+P71</f>
        <v>775291.75413495325</v>
      </c>
      <c r="S71" s="661">
        <f>+U70</f>
        <v>1759190.4478787859</v>
      </c>
      <c r="T71" s="630">
        <f>+S$31</f>
        <v>58315.705454545445</v>
      </c>
      <c r="U71" s="630">
        <f t="shared" si="12"/>
        <v>1700874.7424242403</v>
      </c>
      <c r="V71" s="662">
        <f>+S$28*U71+T71</f>
        <v>361592.78353785753</v>
      </c>
      <c r="W71" s="661">
        <f>+Y70</f>
        <v>22069846.700757578</v>
      </c>
      <c r="X71" s="630">
        <f>+W$31</f>
        <v>693293.61363636365</v>
      </c>
      <c r="Y71" s="630">
        <f t="shared" si="13"/>
        <v>21376553.087121215</v>
      </c>
      <c r="Z71" s="662">
        <f>+W$28*Y71+X71</f>
        <v>4504872.6782503417</v>
      </c>
      <c r="AA71" s="661">
        <f>+AC70</f>
        <v>14389096.013257571</v>
      </c>
      <c r="AB71" s="630">
        <f>+AA$31</f>
        <v>450833.29545454547</v>
      </c>
      <c r="AC71" s="630">
        <f t="shared" si="14"/>
        <v>13938262.717803026</v>
      </c>
      <c r="AD71" s="662">
        <f>+AA$28*AC71+AB71</f>
        <v>2936116.5942046591</v>
      </c>
      <c r="AE71" s="661">
        <f>+AG70</f>
        <v>144833.42045454559</v>
      </c>
      <c r="AF71" s="630">
        <f>+AE$31</f>
        <v>4597.886363636364</v>
      </c>
      <c r="AG71" s="630">
        <f t="shared" si="15"/>
        <v>140235.53409090923</v>
      </c>
      <c r="AH71" s="662">
        <f>+AE$28*AG71+AF71</f>
        <v>29602.798225591428</v>
      </c>
      <c r="AI71" s="661">
        <f>+AK70</f>
        <v>9703807.3446969707</v>
      </c>
      <c r="AJ71" s="630">
        <f>+AI$31</f>
        <v>295547.43181818182</v>
      </c>
      <c r="AK71" s="630">
        <f t="shared" si="19"/>
        <v>9408259.912878789</v>
      </c>
      <c r="AL71" s="662">
        <f>+AI$28*AK71+AJ71</f>
        <v>1973101.6367559545</v>
      </c>
      <c r="AM71" s="661">
        <f>+AO70</f>
        <v>3603174.7596590901</v>
      </c>
      <c r="AN71" s="630">
        <f>+AM$31</f>
        <v>110866.91568181818</v>
      </c>
      <c r="AO71" s="630">
        <f t="shared" si="16"/>
        <v>3492307.843977272</v>
      </c>
      <c r="AP71" s="662">
        <f>+AM$28*AO71+AN71</f>
        <v>733568.21888259391</v>
      </c>
      <c r="AQ71" s="661">
        <f>+AS70</f>
        <v>29636530.770681825</v>
      </c>
      <c r="AR71" s="630">
        <f>+AQ$31</f>
        <v>904932.23727272719</v>
      </c>
      <c r="AS71" s="630">
        <f t="shared" si="17"/>
        <v>28731598.533409096</v>
      </c>
      <c r="AT71" s="662">
        <f>+AQ$28*AS71+AR71</f>
        <v>6027963.9541501412</v>
      </c>
      <c r="AU71" s="776">
        <f>+AW70</f>
        <v>19375000</v>
      </c>
      <c r="AV71" s="775">
        <f>+AU$31</f>
        <v>750000</v>
      </c>
      <c r="AW71" s="775">
        <f t="shared" si="1"/>
        <v>18625000</v>
      </c>
      <c r="AX71" s="757">
        <f>+AU$28*AW71+AV71</f>
        <v>750000</v>
      </c>
      <c r="AY71" s="776">
        <f>+BA70</f>
        <v>12583333.333333332</v>
      </c>
      <c r="AZ71" s="775">
        <f>+AY$31</f>
        <v>500000</v>
      </c>
      <c r="BA71" s="775">
        <f t="shared" si="2"/>
        <v>12083333.333333332</v>
      </c>
      <c r="BB71" s="757">
        <f>+AY$28*BA71+AZ71</f>
        <v>500000</v>
      </c>
      <c r="BC71" s="776">
        <f>+BE70</f>
        <v>19750000</v>
      </c>
      <c r="BD71" s="775">
        <f>+BC$31</f>
        <v>750000</v>
      </c>
      <c r="BE71" s="775">
        <f t="shared" si="4"/>
        <v>19000000</v>
      </c>
      <c r="BF71" s="757">
        <f>+BC$28*BE71+BD71</f>
        <v>750000</v>
      </c>
      <c r="BG71" s="776">
        <f>+BI70</f>
        <v>12523809.52380953</v>
      </c>
      <c r="BH71" s="775">
        <f>+BG$31</f>
        <v>571428.57142857148</v>
      </c>
      <c r="BI71" s="775">
        <f t="shared" si="5"/>
        <v>11952380.952380959</v>
      </c>
      <c r="BJ71" s="757">
        <f>+BG$28*BI71+BH71</f>
        <v>571428.57142857148</v>
      </c>
      <c r="BK71" s="776">
        <f>+BM70</f>
        <v>15200000</v>
      </c>
      <c r="BL71" s="775">
        <f>+BK$31</f>
        <v>1200000</v>
      </c>
      <c r="BM71" s="775">
        <f t="shared" si="9"/>
        <v>14000000</v>
      </c>
      <c r="BN71" s="757">
        <f>+BK$28*BM71+BL71</f>
        <v>1200000</v>
      </c>
      <c r="BO71" s="776">
        <f>+BQ70</f>
        <v>11833333.333333332</v>
      </c>
      <c r="BP71" s="775">
        <f>+BO$31</f>
        <v>666666.66666666663</v>
      </c>
      <c r="BQ71" s="775">
        <f t="shared" si="10"/>
        <v>11166666.666666666</v>
      </c>
      <c r="BR71" s="757">
        <f>+BO$28*BQ71+BP71</f>
        <v>666666.66666666663</v>
      </c>
      <c r="BS71" s="661">
        <f>+BU70</f>
        <v>274259.25000000012</v>
      </c>
      <c r="BT71" s="630">
        <f>+BS$31</f>
        <v>8310.886363636364</v>
      </c>
      <c r="BU71" s="630">
        <f t="shared" si="18"/>
        <v>265948.36363636376</v>
      </c>
      <c r="BV71" s="662">
        <f>+BS$28*BU71+BT71</f>
        <v>55731.216992872636</v>
      </c>
      <c r="BW71" s="661">
        <f>+BY70</f>
        <v>19179970.806818187</v>
      </c>
      <c r="BX71" s="630">
        <f>+BW$31</f>
        <v>576841.22727272729</v>
      </c>
      <c r="BY71" s="630">
        <f t="shared" si="20"/>
        <v>18603129.579545461</v>
      </c>
      <c r="BZ71" s="662">
        <f>+BW$28*BY71+BX71</f>
        <v>3893900.7622085167</v>
      </c>
      <c r="CA71" s="661">
        <f>+CC70</f>
        <v>1809927.8400000008</v>
      </c>
      <c r="CB71" s="630">
        <f>+CA$31</f>
        <v>54433.919999999998</v>
      </c>
      <c r="CC71" s="630">
        <f t="shared" si="21"/>
        <v>1755493.9200000009</v>
      </c>
      <c r="CD71" s="662">
        <f>+CA$28*CC71+CB71</f>
        <v>367449.954262343</v>
      </c>
      <c r="CE71" s="661">
        <f>+CG70</f>
        <v>157107.21727272734</v>
      </c>
      <c r="CF71" s="630">
        <f>+CE$31</f>
        <v>4725.0290909090909</v>
      </c>
      <c r="CG71" s="630">
        <f t="shared" si="22"/>
        <v>152382.18818181826</v>
      </c>
      <c r="CH71" s="662">
        <f>+CE$28*CG71+CF71</f>
        <v>31895.768729181833</v>
      </c>
      <c r="CI71" s="661">
        <f>+CK70</f>
        <v>423423.40909090894</v>
      </c>
      <c r="CJ71" s="630">
        <f>+CI$31</f>
        <v>12362.727272727272</v>
      </c>
      <c r="CK71" s="630">
        <f t="shared" si="24"/>
        <v>411060.68181818165</v>
      </c>
      <c r="CL71" s="662">
        <f>+CI$28*CK71+CJ71</f>
        <v>85657.532226481795</v>
      </c>
      <c r="CM71" s="661">
        <f>+CO70</f>
        <v>18501205.569034092</v>
      </c>
      <c r="CN71" s="630">
        <f>+CM$31</f>
        <v>483691.64886363636</v>
      </c>
      <c r="CO71" s="630">
        <f t="shared" si="35"/>
        <v>18017513.920170456</v>
      </c>
      <c r="CP71" s="662">
        <f>+CM$28*CO71+CN71</f>
        <v>3696332.0860109865</v>
      </c>
      <c r="CQ71" s="661">
        <f>+CS70</f>
        <v>78187268.617329523</v>
      </c>
      <c r="CR71" s="630">
        <f>+CQ$31</f>
        <v>2017735.9643181816</v>
      </c>
      <c r="CS71" s="630">
        <f t="shared" si="40"/>
        <v>76169532.653011337</v>
      </c>
      <c r="CT71" s="662">
        <f>+CQ$28*CS71+CR71</f>
        <v>15599261.238220379</v>
      </c>
      <c r="CU71" s="661">
        <f>+CW70</f>
        <v>26371619.527500007</v>
      </c>
      <c r="CV71" s="630">
        <f>+CU$31</f>
        <v>676195.37250000006</v>
      </c>
      <c r="CW71" s="630">
        <f t="shared" si="41"/>
        <v>25695424.155000009</v>
      </c>
      <c r="CX71" s="662">
        <f>+CU$28*CW71+CV71</f>
        <v>5257857.3629254159</v>
      </c>
      <c r="CY71" s="782">
        <f t="shared" si="25"/>
        <v>27183559.460523326</v>
      </c>
      <c r="CZ71" s="756"/>
      <c r="DA71" s="778">
        <f>+CY71</f>
        <v>27183559.460523326</v>
      </c>
      <c r="DD71" s="661">
        <f>+DF70</f>
        <v>2753210.6333333356</v>
      </c>
      <c r="DE71" s="630">
        <f t="shared" si="53"/>
        <v>1270712.6000000001</v>
      </c>
      <c r="DF71" s="630">
        <f t="shared" si="26"/>
        <v>1482498.0333333355</v>
      </c>
      <c r="DG71" s="662">
        <f t="shared" si="42"/>
        <v>1572054.7310407679</v>
      </c>
      <c r="DH71" s="661">
        <f>+DJ70</f>
        <v>2683213.1999999983</v>
      </c>
      <c r="DI71" s="630">
        <f t="shared" si="54"/>
        <v>894404.4</v>
      </c>
      <c r="DJ71" s="630">
        <f t="shared" si="27"/>
        <v>1788808.7999999984</v>
      </c>
      <c r="DK71" s="662">
        <f t="shared" si="43"/>
        <v>1258009.237036081</v>
      </c>
      <c r="DL71" s="661">
        <f>+DN70</f>
        <v>409670.8904166664</v>
      </c>
      <c r="DM71" s="630">
        <f t="shared" si="55"/>
        <v>140458.59099999999</v>
      </c>
      <c r="DN71" s="630">
        <f t="shared" si="28"/>
        <v>269212.29941666638</v>
      </c>
      <c r="DO71" s="662">
        <f t="shared" si="44"/>
        <v>195180.42278968354</v>
      </c>
      <c r="DP71" s="661">
        <f>+DR70</f>
        <v>50880.900000000009</v>
      </c>
      <c r="DQ71" s="630">
        <f t="shared" si="56"/>
        <v>16960.3</v>
      </c>
      <c r="DR71" s="630">
        <f t="shared" si="29"/>
        <v>33920.600000000006</v>
      </c>
      <c r="DS71" s="662">
        <f t="shared" si="45"/>
        <v>23855.220371124124</v>
      </c>
      <c r="DT71" s="661">
        <f>+DV70</f>
        <v>3970.3223333333335</v>
      </c>
      <c r="DU71" s="630">
        <f t="shared" si="57"/>
        <v>1253.7860000000001</v>
      </c>
      <c r="DV71" s="630">
        <f t="shared" si="34"/>
        <v>2716.5363333333335</v>
      </c>
      <c r="DW71" s="662">
        <f t="shared" si="46"/>
        <v>1805.9667309893939</v>
      </c>
      <c r="DX71" s="661">
        <f>+DZ70</f>
        <v>13108094.934999995</v>
      </c>
      <c r="DY71" s="630">
        <f t="shared" si="58"/>
        <v>4033259.9799999995</v>
      </c>
      <c r="DZ71" s="630">
        <f t="shared" si="30"/>
        <v>9074834.9549999945</v>
      </c>
      <c r="EA71" s="662">
        <f t="shared" si="47"/>
        <v>5877869.5799427694</v>
      </c>
      <c r="EB71" s="661">
        <f>+ED70</f>
        <v>190107.80883333337</v>
      </c>
      <c r="EC71" s="630">
        <f t="shared" si="59"/>
        <v>53053.342000000004</v>
      </c>
      <c r="ED71" s="630">
        <f t="shared" si="31"/>
        <v>137054.46683333337</v>
      </c>
      <c r="EE71" s="662">
        <f t="shared" si="48"/>
        <v>80911.918656153066</v>
      </c>
      <c r="EF71" s="661">
        <f>+EH70</f>
        <v>-193165.65349999996</v>
      </c>
      <c r="EG71" s="630">
        <f t="shared" si="60"/>
        <v>-53906.693999999974</v>
      </c>
      <c r="EH71" s="630">
        <f t="shared" si="32"/>
        <v>-139258.9595</v>
      </c>
      <c r="EI71" s="662">
        <f t="shared" si="49"/>
        <v>-82213.370082324545</v>
      </c>
      <c r="EJ71" s="661">
        <f>+EL70</f>
        <v>12755503.878833339</v>
      </c>
      <c r="EK71" s="630">
        <f t="shared" si="61"/>
        <v>3327522.7509999997</v>
      </c>
      <c r="EL71" s="630">
        <f t="shared" si="33"/>
        <v>9427981.1278333385</v>
      </c>
      <c r="EM71" s="662">
        <f t="shared" si="50"/>
        <v>5243915.124273818</v>
      </c>
      <c r="EN71" s="661">
        <f>+EP70</f>
        <v>194993.51774999994</v>
      </c>
      <c r="EO71" s="630">
        <f t="shared" si="62"/>
        <v>49785.578999999998</v>
      </c>
      <c r="EP71" s="630">
        <f t="shared" si="38"/>
        <v>145207.93874999994</v>
      </c>
      <c r="EQ71" s="662">
        <f t="shared" si="51"/>
        <v>79301.483050527357</v>
      </c>
      <c r="ER71" s="661">
        <f>+ET70</f>
        <v>790227.85949999979</v>
      </c>
      <c r="ES71" s="630">
        <f t="shared" si="63"/>
        <v>175606.19100000002</v>
      </c>
      <c r="ET71" s="630">
        <f t="shared" si="39"/>
        <v>614621.6684999998</v>
      </c>
      <c r="EU71" s="662">
        <f t="shared" si="52"/>
        <v>300538.16339066956</v>
      </c>
      <c r="EW71" s="661"/>
      <c r="EX71" s="630"/>
      <c r="EY71" s="630"/>
      <c r="EZ71" s="662"/>
      <c r="FA71" s="661"/>
      <c r="FB71" s="630"/>
      <c r="FC71" s="630"/>
      <c r="FD71" s="662"/>
    </row>
    <row r="72" spans="1:160">
      <c r="A72" s="753" t="s">
        <v>23</v>
      </c>
      <c r="B72" s="774">
        <f t="shared" si="0"/>
        <v>2022</v>
      </c>
      <c r="C72" s="775">
        <f>+C71</f>
        <v>13708103.510795452</v>
      </c>
      <c r="D72" s="775">
        <f>+D71</f>
        <v>445791.98409090913</v>
      </c>
      <c r="E72" s="775">
        <f t="shared" si="6"/>
        <v>13262311.526704542</v>
      </c>
      <c r="F72" s="757">
        <f>+C$29*E72+D72</f>
        <v>2916032.0771610811</v>
      </c>
      <c r="G72" s="775">
        <f>+G71</f>
        <v>3533142.861136361</v>
      </c>
      <c r="H72" s="775">
        <f>+H71</f>
        <v>115840.74954545456</v>
      </c>
      <c r="I72" s="775">
        <f t="shared" si="7"/>
        <v>3417302.1115909065</v>
      </c>
      <c r="J72" s="757">
        <f>+G$29*I72+H72</f>
        <v>752347.94281923503</v>
      </c>
      <c r="K72" s="776">
        <f>+K71</f>
        <v>9086237.8938068114</v>
      </c>
      <c r="L72" s="775">
        <f>+L71</f>
        <v>305419.76113636367</v>
      </c>
      <c r="M72" s="775">
        <f t="shared" si="8"/>
        <v>8780818.1326704472</v>
      </c>
      <c r="N72" s="757">
        <f>+K$29*M72+L72</f>
        <v>1940936.2363454085</v>
      </c>
      <c r="O72" s="776">
        <f>+O71</f>
        <v>3798236.128787877</v>
      </c>
      <c r="P72" s="775">
        <f>+P71</f>
        <v>119316.31818181818</v>
      </c>
      <c r="Q72" s="775">
        <f t="shared" si="11"/>
        <v>3678919.8106060587</v>
      </c>
      <c r="R72" s="757">
        <f>+O$29*Q72+P72</f>
        <v>804552.46250328817</v>
      </c>
      <c r="S72" s="661">
        <f>+S71</f>
        <v>1759190.4478787859</v>
      </c>
      <c r="T72" s="630">
        <f>+T71</f>
        <v>58315.705454545445</v>
      </c>
      <c r="U72" s="630">
        <f t="shared" si="12"/>
        <v>1700874.7424242403</v>
      </c>
      <c r="V72" s="662">
        <f>+S$29*U72+T72</f>
        <v>375120.88482064789</v>
      </c>
      <c r="W72" s="661">
        <f>+W71</f>
        <v>22069846.700757578</v>
      </c>
      <c r="X72" s="630">
        <f>+X71</f>
        <v>693293.61363636365</v>
      </c>
      <c r="Y72" s="630">
        <f t="shared" si="13"/>
        <v>21376553.087121215</v>
      </c>
      <c r="Z72" s="662">
        <f>+W$29*Y72+X72</f>
        <v>4674893.531653896</v>
      </c>
      <c r="AA72" s="661">
        <f>+AA71</f>
        <v>14389096.013257571</v>
      </c>
      <c r="AB72" s="630">
        <f>+AB71</f>
        <v>450833.29545454547</v>
      </c>
      <c r="AC72" s="630">
        <f t="shared" si="14"/>
        <v>13938262.717803026</v>
      </c>
      <c r="AD72" s="662">
        <f>+AA$29*AC72+AB72</f>
        <v>3046976.1566694584</v>
      </c>
      <c r="AE72" s="661">
        <f>+AE71</f>
        <v>144833.42045454559</v>
      </c>
      <c r="AF72" s="630">
        <f>+AF71</f>
        <v>4597.886363636364</v>
      </c>
      <c r="AG72" s="630">
        <f t="shared" si="15"/>
        <v>140235.53409090923</v>
      </c>
      <c r="AH72" s="662">
        <f>+AE$29*AG72+AF72</f>
        <v>30718.177542662168</v>
      </c>
      <c r="AI72" s="661">
        <f>+AI71</f>
        <v>9703807.3446969707</v>
      </c>
      <c r="AJ72" s="630">
        <f>+AJ71</f>
        <v>295547.43181818182</v>
      </c>
      <c r="AK72" s="630">
        <f t="shared" si="19"/>
        <v>9408259.912878789</v>
      </c>
      <c r="AL72" s="662">
        <f>+AI$29*AK72+AJ72</f>
        <v>2047931.3051740036</v>
      </c>
      <c r="AM72" s="661">
        <f>+AM71</f>
        <v>3603174.7596590901</v>
      </c>
      <c r="AN72" s="630">
        <f>+AN71</f>
        <v>110866.91568181818</v>
      </c>
      <c r="AO72" s="630">
        <f t="shared" si="16"/>
        <v>3492307.843977272</v>
      </c>
      <c r="AP72" s="662">
        <f>+AM$29*AO72+AN72</f>
        <v>761344.6876875048</v>
      </c>
      <c r="AQ72" s="661">
        <f>+AQ71</f>
        <v>29636530.770681825</v>
      </c>
      <c r="AR72" s="630">
        <f>+AR71</f>
        <v>904932.23727272719</v>
      </c>
      <c r="AS72" s="630">
        <f t="shared" si="17"/>
        <v>28731598.533409096</v>
      </c>
      <c r="AT72" s="662">
        <f>+AQ$29*AS72+AR72</f>
        <v>6256484.0005013738</v>
      </c>
      <c r="AU72" s="776">
        <f>+AU71</f>
        <v>19375000</v>
      </c>
      <c r="AV72" s="775">
        <f>+AV71</f>
        <v>750000</v>
      </c>
      <c r="AW72" s="775">
        <f t="shared" si="1"/>
        <v>18625000</v>
      </c>
      <c r="AX72" s="757">
        <f>+AU$29*AW72+AV72</f>
        <v>750000</v>
      </c>
      <c r="AY72" s="776">
        <f>+AY71</f>
        <v>12583333.333333332</v>
      </c>
      <c r="AZ72" s="775">
        <f>+AZ71</f>
        <v>500000</v>
      </c>
      <c r="BA72" s="775">
        <f t="shared" si="2"/>
        <v>12083333.333333332</v>
      </c>
      <c r="BB72" s="757">
        <f>+AY$29*BA72+AZ72</f>
        <v>500000</v>
      </c>
      <c r="BC72" s="776">
        <f>+BC71</f>
        <v>19750000</v>
      </c>
      <c r="BD72" s="775">
        <f>+BD71</f>
        <v>750000</v>
      </c>
      <c r="BE72" s="775">
        <f t="shared" si="4"/>
        <v>19000000</v>
      </c>
      <c r="BF72" s="757">
        <f>+BC$29*BE72+BD72</f>
        <v>750000</v>
      </c>
      <c r="BG72" s="776">
        <f>+BG71</f>
        <v>12523809.52380953</v>
      </c>
      <c r="BH72" s="775">
        <f>+BH71</f>
        <v>571428.57142857148</v>
      </c>
      <c r="BI72" s="775">
        <f t="shared" si="5"/>
        <v>11952380.952380959</v>
      </c>
      <c r="BJ72" s="757">
        <f>+BG$29*BI72+BH72</f>
        <v>571428.57142857148</v>
      </c>
      <c r="BK72" s="776">
        <f>+BK71</f>
        <v>15200000</v>
      </c>
      <c r="BL72" s="775">
        <f>+BL71</f>
        <v>1200000</v>
      </c>
      <c r="BM72" s="775">
        <f t="shared" si="9"/>
        <v>14000000</v>
      </c>
      <c r="BN72" s="757">
        <f>+BK$29*BM72+BL72</f>
        <v>1200000</v>
      </c>
      <c r="BO72" s="776">
        <f>+BO71</f>
        <v>11833333.333333332</v>
      </c>
      <c r="BP72" s="775">
        <f>+BP71</f>
        <v>666666.66666666663</v>
      </c>
      <c r="BQ72" s="775">
        <f t="shared" si="10"/>
        <v>11166666.666666666</v>
      </c>
      <c r="BR72" s="757">
        <f>+BO$29*BQ72+BP72</f>
        <v>666666.66666666663</v>
      </c>
      <c r="BS72" s="661">
        <f>+BS71</f>
        <v>274259.25000000012</v>
      </c>
      <c r="BT72" s="630">
        <f>+BT71</f>
        <v>8310.886363636364</v>
      </c>
      <c r="BU72" s="630">
        <f t="shared" si="18"/>
        <v>265948.36363636376</v>
      </c>
      <c r="BV72" s="662">
        <f>+BS$29*BU72+BT72</f>
        <v>57846.467639805764</v>
      </c>
      <c r="BW72" s="661">
        <f>+BW71</f>
        <v>19179970.806818187</v>
      </c>
      <c r="BX72" s="630">
        <f>+BX71</f>
        <v>576841.22727272729</v>
      </c>
      <c r="BY72" s="630">
        <f t="shared" si="20"/>
        <v>18603129.579545461</v>
      </c>
      <c r="BZ72" s="662">
        <f>+BW$29*BY72+BX72</f>
        <v>3893900.7622085167</v>
      </c>
      <c r="CA72" s="661">
        <f>+CA71</f>
        <v>1809927.8400000008</v>
      </c>
      <c r="CB72" s="630">
        <f>+CB71</f>
        <v>54433.919999999998</v>
      </c>
      <c r="CC72" s="630">
        <f t="shared" si="21"/>
        <v>1755493.9200000009</v>
      </c>
      <c r="CD72" s="662">
        <f>+CA$29*CC72+CB72</f>
        <v>381412.47540439613</v>
      </c>
      <c r="CE72" s="661">
        <f>+CE71</f>
        <v>157107.21727272734</v>
      </c>
      <c r="CF72" s="630">
        <f>+CF71</f>
        <v>4725.0290909090909</v>
      </c>
      <c r="CG72" s="630">
        <f t="shared" si="22"/>
        <v>152382.18818181826</v>
      </c>
      <c r="CH72" s="662">
        <f>+CE$29*CG72+CF72</f>
        <v>33107.757845134431</v>
      </c>
      <c r="CI72" s="661">
        <f>+CI71</f>
        <v>423423.40909090894</v>
      </c>
      <c r="CJ72" s="630">
        <f>+CJ71</f>
        <v>12362.727272727272</v>
      </c>
      <c r="CK72" s="630">
        <f t="shared" si="24"/>
        <v>411060.68181818165</v>
      </c>
      <c r="CL72" s="662">
        <f>+CI$29*CK72+CJ72</f>
        <v>85657.532226481795</v>
      </c>
      <c r="CM72" s="661">
        <f>+CM71</f>
        <v>18501205.569034092</v>
      </c>
      <c r="CN72" s="630">
        <f>+CN71</f>
        <v>483691.64886363636</v>
      </c>
      <c r="CO72" s="630">
        <f t="shared" si="35"/>
        <v>18017513.920170456</v>
      </c>
      <c r="CP72" s="662">
        <f>+CM$29*CO72+CN72</f>
        <v>3696332.0860109865</v>
      </c>
      <c r="CQ72" s="661">
        <f>+CQ71</f>
        <v>78187268.617329523</v>
      </c>
      <c r="CR72" s="630">
        <f>+CR71</f>
        <v>2017735.9643181816</v>
      </c>
      <c r="CS72" s="630">
        <f t="shared" si="40"/>
        <v>76169532.653011337</v>
      </c>
      <c r="CT72" s="662">
        <f>+CQ$29*CS72+CR72</f>
        <v>15599261.238220379</v>
      </c>
      <c r="CU72" s="661">
        <f>+CU71</f>
        <v>26371619.527500007</v>
      </c>
      <c r="CV72" s="630">
        <f>+CV71</f>
        <v>676195.37250000006</v>
      </c>
      <c r="CW72" s="630">
        <f t="shared" si="41"/>
        <v>25695424.155000009</v>
      </c>
      <c r="CX72" s="662">
        <f>+CU$29*CW72+CV72</f>
        <v>5257857.3629254159</v>
      </c>
      <c r="CY72" s="782">
        <f t="shared" si="25"/>
        <v>28059262.458202899</v>
      </c>
      <c r="CZ72" s="779">
        <f>+CY72</f>
        <v>28059262.458202899</v>
      </c>
      <c r="DA72" s="752"/>
      <c r="DD72" s="661">
        <f>+DD71</f>
        <v>2753210.6333333356</v>
      </c>
      <c r="DE72" s="630">
        <f t="shared" si="53"/>
        <v>1270712.6000000001</v>
      </c>
      <c r="DF72" s="630">
        <f t="shared" si="26"/>
        <v>1482498.0333333355</v>
      </c>
      <c r="DG72" s="662">
        <f t="shared" si="42"/>
        <v>1572054.7310407679</v>
      </c>
      <c r="DH72" s="661">
        <f>+DH71</f>
        <v>2683213.1999999983</v>
      </c>
      <c r="DI72" s="630">
        <f t="shared" si="54"/>
        <v>894404.4</v>
      </c>
      <c r="DJ72" s="630">
        <f t="shared" si="27"/>
        <v>1788808.7999999984</v>
      </c>
      <c r="DK72" s="662">
        <f t="shared" si="43"/>
        <v>1258009.237036081</v>
      </c>
      <c r="DL72" s="661">
        <f>+DL71</f>
        <v>409670.8904166664</v>
      </c>
      <c r="DM72" s="630">
        <f t="shared" si="55"/>
        <v>140458.59099999999</v>
      </c>
      <c r="DN72" s="630">
        <f t="shared" si="28"/>
        <v>269212.29941666638</v>
      </c>
      <c r="DO72" s="662">
        <f t="shared" si="44"/>
        <v>195180.42278968354</v>
      </c>
      <c r="DP72" s="661">
        <f>+DP71</f>
        <v>50880.900000000009</v>
      </c>
      <c r="DQ72" s="630">
        <f t="shared" si="56"/>
        <v>16960.3</v>
      </c>
      <c r="DR72" s="630">
        <f t="shared" si="29"/>
        <v>33920.600000000006</v>
      </c>
      <c r="DS72" s="662">
        <f t="shared" si="45"/>
        <v>23855.220371124124</v>
      </c>
      <c r="DT72" s="661">
        <f>+DT71</f>
        <v>3970.3223333333335</v>
      </c>
      <c r="DU72" s="630">
        <f t="shared" si="57"/>
        <v>1253.7860000000001</v>
      </c>
      <c r="DV72" s="630">
        <f t="shared" si="34"/>
        <v>2716.5363333333335</v>
      </c>
      <c r="DW72" s="662">
        <f t="shared" si="46"/>
        <v>1805.9667309893939</v>
      </c>
      <c r="DX72" s="661">
        <f>+DX71</f>
        <v>13108094.934999995</v>
      </c>
      <c r="DY72" s="630">
        <f t="shared" si="58"/>
        <v>4033259.9799999995</v>
      </c>
      <c r="DZ72" s="630">
        <f t="shared" si="30"/>
        <v>9074834.9549999945</v>
      </c>
      <c r="EA72" s="662">
        <f t="shared" si="47"/>
        <v>5877869.5799427694</v>
      </c>
      <c r="EB72" s="661">
        <f>+EB71</f>
        <v>190107.80883333337</v>
      </c>
      <c r="EC72" s="630">
        <f t="shared" si="59"/>
        <v>53053.342000000004</v>
      </c>
      <c r="ED72" s="630">
        <f t="shared" si="31"/>
        <v>137054.46683333337</v>
      </c>
      <c r="EE72" s="662">
        <f t="shared" si="48"/>
        <v>80911.918656153066</v>
      </c>
      <c r="EF72" s="661">
        <f>+EF71</f>
        <v>-193165.65349999996</v>
      </c>
      <c r="EG72" s="630">
        <f t="shared" si="60"/>
        <v>-53906.693999999974</v>
      </c>
      <c r="EH72" s="630">
        <f t="shared" si="32"/>
        <v>-139258.9595</v>
      </c>
      <c r="EI72" s="662">
        <f t="shared" si="49"/>
        <v>-82213.370082324545</v>
      </c>
      <c r="EJ72" s="661">
        <f>+EJ71</f>
        <v>12755503.878833339</v>
      </c>
      <c r="EK72" s="630">
        <f t="shared" si="61"/>
        <v>3327522.7509999997</v>
      </c>
      <c r="EL72" s="630">
        <f t="shared" si="33"/>
        <v>9427981.1278333385</v>
      </c>
      <c r="EM72" s="662">
        <f t="shared" si="50"/>
        <v>5243915.124273818</v>
      </c>
      <c r="EN72" s="661">
        <f>+EN71</f>
        <v>194993.51774999994</v>
      </c>
      <c r="EO72" s="630">
        <f t="shared" si="62"/>
        <v>49785.578999999998</v>
      </c>
      <c r="EP72" s="630">
        <f t="shared" si="38"/>
        <v>145207.93874999994</v>
      </c>
      <c r="EQ72" s="662">
        <f t="shared" si="51"/>
        <v>79301.483050527357</v>
      </c>
      <c r="ER72" s="661">
        <f>+ER71</f>
        <v>790227.85949999979</v>
      </c>
      <c r="ES72" s="630">
        <f t="shared" si="63"/>
        <v>175606.19100000002</v>
      </c>
      <c r="ET72" s="630">
        <f t="shared" si="39"/>
        <v>614621.6684999998</v>
      </c>
      <c r="EU72" s="662">
        <f t="shared" si="52"/>
        <v>300538.16339066956</v>
      </c>
      <c r="EW72" s="661"/>
      <c r="EX72" s="630"/>
      <c r="EY72" s="630"/>
      <c r="EZ72" s="662"/>
      <c r="FA72" s="661"/>
      <c r="FB72" s="630"/>
      <c r="FC72" s="630"/>
      <c r="FD72" s="662"/>
    </row>
    <row r="73" spans="1:160">
      <c r="A73" s="753" t="s">
        <v>24</v>
      </c>
      <c r="B73" s="774">
        <v>2023</v>
      </c>
      <c r="C73" s="775">
        <f>+E72</f>
        <v>13262311.526704542</v>
      </c>
      <c r="D73" s="775">
        <f>+C$31</f>
        <v>445791.98409090913</v>
      </c>
      <c r="E73" s="775">
        <f t="shared" si="6"/>
        <v>12816519.542613633</v>
      </c>
      <c r="F73" s="757">
        <f>+C$28*E73+D73</f>
        <v>2731061.1465581516</v>
      </c>
      <c r="G73" s="775">
        <f>+I72</f>
        <v>3417302.1115909065</v>
      </c>
      <c r="H73" s="775">
        <f>+G$31</f>
        <v>115840.74954545456</v>
      </c>
      <c r="I73" s="775">
        <f t="shared" si="7"/>
        <v>3301461.362045452</v>
      </c>
      <c r="J73" s="757">
        <f>+G$28*I73+H73</f>
        <v>704512.87825201266</v>
      </c>
      <c r="K73" s="776">
        <f>+M72</f>
        <v>8780818.1326704472</v>
      </c>
      <c r="L73" s="775">
        <f>+K$31</f>
        <v>305419.76113636367</v>
      </c>
      <c r="M73" s="775">
        <f t="shared" si="8"/>
        <v>8475398.371534083</v>
      </c>
      <c r="N73" s="757">
        <f>+K$28*M73+L73</f>
        <v>1816638.6590355472</v>
      </c>
      <c r="O73" s="776">
        <f>+Q72</f>
        <v>3678919.8106060587</v>
      </c>
      <c r="P73" s="775">
        <f>+O$31</f>
        <v>119316.31818181818</v>
      </c>
      <c r="Q73" s="775">
        <f t="shared" si="11"/>
        <v>3559603.4924242403</v>
      </c>
      <c r="R73" s="757">
        <f>+O$28*Q73+P73</f>
        <v>754016.87513106759</v>
      </c>
      <c r="S73" s="661">
        <f>+U72</f>
        <v>1700874.7424242403</v>
      </c>
      <c r="T73" s="630">
        <f>+S$31</f>
        <v>58315.705454545445</v>
      </c>
      <c r="U73" s="630">
        <f t="shared" si="12"/>
        <v>1642559.0369696948</v>
      </c>
      <c r="V73" s="662">
        <f>+S$28*U73+T73</f>
        <v>351194.71228928678</v>
      </c>
      <c r="W73" s="661">
        <f>+Y72</f>
        <v>21376553.087121215</v>
      </c>
      <c r="X73" s="630">
        <f>+W$31</f>
        <v>693293.61363636365</v>
      </c>
      <c r="Y73" s="630">
        <f t="shared" si="13"/>
        <v>20683259.473484851</v>
      </c>
      <c r="Z73" s="662">
        <f>+W$28*Y73+X73</f>
        <v>4381253.8977763746</v>
      </c>
      <c r="AA73" s="661">
        <f>+AC72</f>
        <v>13938262.717803026</v>
      </c>
      <c r="AB73" s="630">
        <f>+AA$31</f>
        <v>450833.29545454547</v>
      </c>
      <c r="AC73" s="630">
        <f t="shared" si="14"/>
        <v>13487429.422348481</v>
      </c>
      <c r="AD73" s="662">
        <f>+AA$28*AC73+AB73</f>
        <v>2855730.0724122026</v>
      </c>
      <c r="AE73" s="661">
        <f>+AG72</f>
        <v>140235.53409090923</v>
      </c>
      <c r="AF73" s="630">
        <f>+AE$31</f>
        <v>4597.886363636364</v>
      </c>
      <c r="AG73" s="630">
        <f t="shared" si="15"/>
        <v>135637.64772727288</v>
      </c>
      <c r="AH73" s="662">
        <f>+AE$28*AG73+AF73</f>
        <v>28782.965049789625</v>
      </c>
      <c r="AI73" s="661">
        <f>+AK72</f>
        <v>9408259.912878789</v>
      </c>
      <c r="AJ73" s="630">
        <f>+AI$31</f>
        <v>295547.43181818182</v>
      </c>
      <c r="AK73" s="630">
        <f t="shared" si="19"/>
        <v>9112712.4810606074</v>
      </c>
      <c r="AL73" s="662">
        <f>+AI$28*AK73+AJ73</f>
        <v>1920403.5989045061</v>
      </c>
      <c r="AM73" s="661">
        <f>+AO72</f>
        <v>3492307.843977272</v>
      </c>
      <c r="AN73" s="630">
        <f>+AM$31</f>
        <v>110866.91568181818</v>
      </c>
      <c r="AO73" s="630">
        <f t="shared" si="16"/>
        <v>3381440.928295454</v>
      </c>
      <c r="AP73" s="662">
        <f>+AM$28*AO73+AN73</f>
        <v>713799.92354288686</v>
      </c>
      <c r="AQ73" s="661">
        <f>+AS72</f>
        <v>28731598.533409096</v>
      </c>
      <c r="AR73" s="630">
        <f>+AQ$31</f>
        <v>904932.23727272719</v>
      </c>
      <c r="AS73" s="630">
        <f t="shared" si="17"/>
        <v>27826666.296136368</v>
      </c>
      <c r="AT73" s="662">
        <f>+AQ$28*AS73+AR73</f>
        <v>5866608.6244847104</v>
      </c>
      <c r="AU73" s="776">
        <f>+AW72</f>
        <v>18625000</v>
      </c>
      <c r="AV73" s="775">
        <f>+AU$31</f>
        <v>750000</v>
      </c>
      <c r="AW73" s="775">
        <f t="shared" si="1"/>
        <v>17875000</v>
      </c>
      <c r="AX73" s="757">
        <f>+AU$28*AW73+AV73</f>
        <v>750000</v>
      </c>
      <c r="AY73" s="776">
        <f>+BA72</f>
        <v>12083333.333333332</v>
      </c>
      <c r="AZ73" s="775">
        <f>+AY$31</f>
        <v>500000</v>
      </c>
      <c r="BA73" s="775">
        <f t="shared" si="2"/>
        <v>11583333.333333332</v>
      </c>
      <c r="BB73" s="757">
        <f>+AY$28*BA73+AZ73</f>
        <v>500000</v>
      </c>
      <c r="BC73" s="776">
        <f>+BE72</f>
        <v>19000000</v>
      </c>
      <c r="BD73" s="775">
        <f>+BC$31</f>
        <v>750000</v>
      </c>
      <c r="BE73" s="775">
        <f t="shared" si="4"/>
        <v>18250000</v>
      </c>
      <c r="BF73" s="757">
        <f>+BC$28*BE73+BD73</f>
        <v>750000</v>
      </c>
      <c r="BG73" s="776">
        <f>+BI72</f>
        <v>11952380.952380959</v>
      </c>
      <c r="BH73" s="775">
        <f>+BG$31</f>
        <v>571428.57142857148</v>
      </c>
      <c r="BI73" s="775">
        <f t="shared" si="5"/>
        <v>11380952.380952388</v>
      </c>
      <c r="BJ73" s="757">
        <f>+BG$28*BI73+BH73</f>
        <v>571428.57142857148</v>
      </c>
      <c r="BK73" s="776">
        <f>+BM72</f>
        <v>14000000</v>
      </c>
      <c r="BL73" s="775">
        <f>+BK$31</f>
        <v>1200000</v>
      </c>
      <c r="BM73" s="775">
        <f t="shared" si="9"/>
        <v>12800000</v>
      </c>
      <c r="BN73" s="757">
        <f>+BK$28*BM73+BL73</f>
        <v>1200000</v>
      </c>
      <c r="BO73" s="776">
        <f>+BQ72</f>
        <v>11166666.666666666</v>
      </c>
      <c r="BP73" s="775">
        <f>+BO$31</f>
        <v>666666.66666666663</v>
      </c>
      <c r="BQ73" s="775">
        <f t="shared" si="10"/>
        <v>10500000</v>
      </c>
      <c r="BR73" s="757">
        <f>+BO$28*BQ73+BP73</f>
        <v>666666.66666666663</v>
      </c>
      <c r="BS73" s="661">
        <f>+BU72</f>
        <v>265948.36363636376</v>
      </c>
      <c r="BT73" s="630">
        <f>+BS$31</f>
        <v>8310.886363636364</v>
      </c>
      <c r="BU73" s="630">
        <f t="shared" si="18"/>
        <v>257637.47727272741</v>
      </c>
      <c r="BV73" s="662">
        <f>+BS$28*BU73+BT73</f>
        <v>54249.331660709009</v>
      </c>
      <c r="BW73" s="661">
        <f>+BY72</f>
        <v>18603129.579545461</v>
      </c>
      <c r="BX73" s="630">
        <f>+BW$31</f>
        <v>576841.22727272729</v>
      </c>
      <c r="BY73" s="630">
        <f t="shared" si="20"/>
        <v>18026288.352272734</v>
      </c>
      <c r="BZ73" s="662">
        <f>+BW$28*BY73+BX73</f>
        <v>3791046.2029857012</v>
      </c>
      <c r="CA73" s="661">
        <f>+CC72</f>
        <v>1755493.9200000009</v>
      </c>
      <c r="CB73" s="630">
        <f>+CA$31</f>
        <v>54433.919999999998</v>
      </c>
      <c r="CC73" s="630">
        <f t="shared" si="21"/>
        <v>1701060.0000000009</v>
      </c>
      <c r="CD73" s="662">
        <f>+CA$28*CC73+CB73</f>
        <v>357744.0307193246</v>
      </c>
      <c r="CE73" s="661">
        <f>+CG72</f>
        <v>152382.18818181826</v>
      </c>
      <c r="CF73" s="630">
        <f>+CE$31</f>
        <v>4725.0290909090909</v>
      </c>
      <c r="CG73" s="630">
        <f t="shared" si="22"/>
        <v>147657.15909090918</v>
      </c>
      <c r="CH73" s="662">
        <f>+CE$28*CG73+CF73</f>
        <v>31053.265174506712</v>
      </c>
      <c r="CI73" s="661">
        <f>+CK72</f>
        <v>411060.68181818165</v>
      </c>
      <c r="CJ73" s="630">
        <f>+CI$31</f>
        <v>12362.727272727272</v>
      </c>
      <c r="CK73" s="630">
        <f t="shared" si="24"/>
        <v>398697.95454545435</v>
      </c>
      <c r="CL73" s="662">
        <f>+CI$28*CK73+CJ73</f>
        <v>83453.177190278657</v>
      </c>
      <c r="CM73" s="661">
        <f>+CO72</f>
        <v>18017513.920170456</v>
      </c>
      <c r="CN73" s="630">
        <f>+CM$31</f>
        <v>483691.64886363636</v>
      </c>
      <c r="CO73" s="630">
        <f t="shared" si="35"/>
        <v>17533822.27130682</v>
      </c>
      <c r="CP73" s="662">
        <f>+CM$28*CO73+CN73</f>
        <v>3610086.70514797</v>
      </c>
      <c r="CQ73" s="661">
        <f>+CS72</f>
        <v>76169532.653011337</v>
      </c>
      <c r="CR73" s="630">
        <f>+CQ$31</f>
        <v>2017735.9643181816</v>
      </c>
      <c r="CS73" s="630">
        <f t="shared" si="40"/>
        <v>74151796.688693151</v>
      </c>
      <c r="CT73" s="662">
        <f>+CQ$28*CS73+CR73</f>
        <v>15239485.734275948</v>
      </c>
      <c r="CU73" s="661">
        <f>+CW72</f>
        <v>25695424.155000009</v>
      </c>
      <c r="CV73" s="630">
        <f>+CU$31</f>
        <v>676195.37250000006</v>
      </c>
      <c r="CW73" s="630">
        <f t="shared" si="41"/>
        <v>25019228.78250001</v>
      </c>
      <c r="CX73" s="662">
        <f>+CU$28*CW73+CV73</f>
        <v>5137287.3105458003</v>
      </c>
      <c r="CY73" s="782">
        <f t="shared" si="25"/>
        <v>26441549.361167058</v>
      </c>
      <c r="CZ73" s="756"/>
      <c r="DA73" s="778">
        <f>+CY73</f>
        <v>26441549.361167058</v>
      </c>
      <c r="DD73" s="661">
        <f>+DF72</f>
        <v>1482498.0333333355</v>
      </c>
      <c r="DE73" s="630">
        <f t="shared" si="53"/>
        <v>1270712.6000000001</v>
      </c>
      <c r="DF73" s="630">
        <f t="shared" si="26"/>
        <v>211785.43333333544</v>
      </c>
      <c r="DG73" s="662">
        <f t="shared" si="42"/>
        <v>1313761.4758629673</v>
      </c>
      <c r="DH73" s="661">
        <f>+DJ72</f>
        <v>1788808.7999999984</v>
      </c>
      <c r="DI73" s="630">
        <f t="shared" si="54"/>
        <v>894404.4</v>
      </c>
      <c r="DJ73" s="630">
        <f t="shared" si="27"/>
        <v>894404.39999999839</v>
      </c>
      <c r="DK73" s="662">
        <f t="shared" si="43"/>
        <v>1076206.8185180402</v>
      </c>
      <c r="DL73" s="661">
        <f>+DN72</f>
        <v>269212.29941666638</v>
      </c>
      <c r="DM73" s="630">
        <f t="shared" si="55"/>
        <v>140458.59099999999</v>
      </c>
      <c r="DN73" s="630">
        <f t="shared" si="28"/>
        <v>128753.7084166664</v>
      </c>
      <c r="DO73" s="662">
        <f t="shared" si="44"/>
        <v>166629.90185593558</v>
      </c>
      <c r="DP73" s="661">
        <f>+DR72</f>
        <v>33920.600000000006</v>
      </c>
      <c r="DQ73" s="630">
        <f t="shared" si="56"/>
        <v>16960.3</v>
      </c>
      <c r="DR73" s="630">
        <f t="shared" si="29"/>
        <v>16960.300000000007</v>
      </c>
      <c r="DS73" s="662">
        <f t="shared" si="45"/>
        <v>20407.760185562063</v>
      </c>
      <c r="DT73" s="661">
        <f>+DV72</f>
        <v>2716.5363333333335</v>
      </c>
      <c r="DU73" s="630">
        <f t="shared" si="57"/>
        <v>1253.7860000000001</v>
      </c>
      <c r="DV73" s="630">
        <f t="shared" si="34"/>
        <v>1462.7503333333334</v>
      </c>
      <c r="DW73" s="662">
        <f t="shared" si="46"/>
        <v>1551.1140859173659</v>
      </c>
      <c r="DX73" s="661">
        <f>+DZ72</f>
        <v>9074834.9549999945</v>
      </c>
      <c r="DY73" s="630">
        <f t="shared" si="58"/>
        <v>4033259.9799999995</v>
      </c>
      <c r="DZ73" s="630">
        <f t="shared" si="30"/>
        <v>5041574.974999995</v>
      </c>
      <c r="EA73" s="662">
        <f t="shared" si="47"/>
        <v>5058043.0910793161</v>
      </c>
      <c r="EB73" s="661">
        <f>+ED72</f>
        <v>137054.46683333337</v>
      </c>
      <c r="EC73" s="630">
        <f t="shared" si="59"/>
        <v>53053.342000000004</v>
      </c>
      <c r="ED73" s="630">
        <f t="shared" si="31"/>
        <v>84001.124833333364</v>
      </c>
      <c r="EE73" s="662">
        <f t="shared" si="48"/>
        <v>70127.953498932533</v>
      </c>
      <c r="EF73" s="661">
        <f>+EH72</f>
        <v>-139258.9595</v>
      </c>
      <c r="EG73" s="630">
        <f t="shared" si="60"/>
        <v>-53906.693999999974</v>
      </c>
      <c r="EH73" s="630">
        <f t="shared" si="32"/>
        <v>-85352.265500000023</v>
      </c>
      <c r="EI73" s="662">
        <f t="shared" si="49"/>
        <v>-71255.947082715051</v>
      </c>
      <c r="EJ73" s="661">
        <f>+EL72</f>
        <v>9427981.1278333385</v>
      </c>
      <c r="EK73" s="630">
        <f t="shared" si="61"/>
        <v>3327522.7509999997</v>
      </c>
      <c r="EL73" s="630">
        <f t="shared" si="33"/>
        <v>6100458.3768333383</v>
      </c>
      <c r="EM73" s="662">
        <f t="shared" si="50"/>
        <v>4567541.3454712937</v>
      </c>
      <c r="EN73" s="661">
        <f>+EP72</f>
        <v>145207.93874999994</v>
      </c>
      <c r="EO73" s="630">
        <f t="shared" si="62"/>
        <v>49785.578999999998</v>
      </c>
      <c r="EP73" s="630">
        <f t="shared" si="38"/>
        <v>95422.359749999945</v>
      </c>
      <c r="EQ73" s="662">
        <f t="shared" si="51"/>
        <v>69181.744518917971</v>
      </c>
      <c r="ER73" s="661">
        <f>+ET72</f>
        <v>614621.6684999998</v>
      </c>
      <c r="ES73" s="630">
        <f t="shared" si="63"/>
        <v>175606.19100000002</v>
      </c>
      <c r="ET73" s="630">
        <f t="shared" si="39"/>
        <v>439015.4774999998</v>
      </c>
      <c r="EU73" s="662">
        <f t="shared" si="52"/>
        <v>264843.31413619255</v>
      </c>
      <c r="EW73" s="661"/>
      <c r="EX73" s="630"/>
      <c r="EY73" s="630"/>
      <c r="EZ73" s="662"/>
      <c r="FA73" s="661"/>
      <c r="FB73" s="630"/>
      <c r="FC73" s="630"/>
      <c r="FD73" s="662"/>
    </row>
    <row r="74" spans="1:160">
      <c r="A74" s="753" t="s">
        <v>23</v>
      </c>
      <c r="B74" s="774">
        <v>2023</v>
      </c>
      <c r="C74" s="775">
        <f>+C73</f>
        <v>13262311.526704542</v>
      </c>
      <c r="D74" s="775">
        <f>+D73</f>
        <v>445791.98409090913</v>
      </c>
      <c r="E74" s="775">
        <f t="shared" si="6"/>
        <v>12816519.542613633</v>
      </c>
      <c r="F74" s="757">
        <f>+C$29*E74+D74</f>
        <v>2832998.7967217471</v>
      </c>
      <c r="G74" s="775">
        <f>+G73</f>
        <v>3417302.1115909065</v>
      </c>
      <c r="H74" s="775">
        <f>+H73</f>
        <v>115840.74954545456</v>
      </c>
      <c r="I74" s="775">
        <f t="shared" si="7"/>
        <v>3301461.362045452</v>
      </c>
      <c r="J74" s="757">
        <f>+G$29*I74+H74</f>
        <v>730771.42779300525</v>
      </c>
      <c r="K74" s="776">
        <f>+K73</f>
        <v>8780818.1326704472</v>
      </c>
      <c r="L74" s="775">
        <f>+L73</f>
        <v>305419.76113636367</v>
      </c>
      <c r="M74" s="775">
        <f t="shared" si="8"/>
        <v>8475398.371534083</v>
      </c>
      <c r="N74" s="757">
        <f>+K$29*M74+L74</f>
        <v>1884048.70677292</v>
      </c>
      <c r="O74" s="776">
        <f>+O73</f>
        <v>3678919.8106060587</v>
      </c>
      <c r="P74" s="775">
        <f>+P73</f>
        <v>119316.31818181818</v>
      </c>
      <c r="Q74" s="775">
        <f t="shared" si="11"/>
        <v>3559603.4924242403</v>
      </c>
      <c r="R74" s="757">
        <f>+O$29*Q74+P74</f>
        <v>782328.58755232161</v>
      </c>
      <c r="S74" s="661">
        <f>+S73</f>
        <v>1700874.7424242403</v>
      </c>
      <c r="T74" s="630">
        <f>+T73</f>
        <v>58315.705454545445</v>
      </c>
      <c r="U74" s="630">
        <f t="shared" si="12"/>
        <v>1642559.0369696948</v>
      </c>
      <c r="V74" s="662">
        <f>+S$29*U74+T74</f>
        <v>364258.99295666715</v>
      </c>
      <c r="W74" s="661">
        <f>+W73</f>
        <v>21376553.087121215</v>
      </c>
      <c r="X74" s="630">
        <f>+X73</f>
        <v>693293.61363636365</v>
      </c>
      <c r="Y74" s="630">
        <f t="shared" si="13"/>
        <v>20683259.473484851</v>
      </c>
      <c r="Z74" s="662">
        <f>+W$29*Y74+X74</f>
        <v>4545760.5613398142</v>
      </c>
      <c r="AA74" s="661">
        <f>+AA73</f>
        <v>13938262.717803026</v>
      </c>
      <c r="AB74" s="630">
        <f>+AB73</f>
        <v>450833.29545454547</v>
      </c>
      <c r="AC74" s="630">
        <f t="shared" si="14"/>
        <v>13487429.422348481</v>
      </c>
      <c r="AD74" s="662">
        <f>+AA$29*AC74+AB74</f>
        <v>2963003.8808350139</v>
      </c>
      <c r="AE74" s="661">
        <f>+AE73</f>
        <v>140235.53409090923</v>
      </c>
      <c r="AF74" s="630">
        <f>+AF73</f>
        <v>4597.886363636364</v>
      </c>
      <c r="AG74" s="630">
        <f t="shared" si="15"/>
        <v>135637.64772727288</v>
      </c>
      <c r="AH74" s="662">
        <f>+AE$29*AG74+AF74</f>
        <v>29861.774553185915</v>
      </c>
      <c r="AI74" s="661">
        <f>+AI73</f>
        <v>9408259.912878789</v>
      </c>
      <c r="AJ74" s="630">
        <f>+AJ73</f>
        <v>295547.43181818182</v>
      </c>
      <c r="AK74" s="630">
        <f t="shared" si="19"/>
        <v>9112712.4810606074</v>
      </c>
      <c r="AL74" s="662">
        <f>+AI$29*AK74+AJ74</f>
        <v>1992882.5971104701</v>
      </c>
      <c r="AM74" s="661">
        <f>+AM73</f>
        <v>3492307.843977272</v>
      </c>
      <c r="AN74" s="630">
        <f>+AN73</f>
        <v>110866.91568181818</v>
      </c>
      <c r="AO74" s="630">
        <f t="shared" si="16"/>
        <v>3381440.928295454</v>
      </c>
      <c r="AP74" s="662">
        <f>+AM$29*AO74+AN74</f>
        <v>740694.59968732437</v>
      </c>
      <c r="AQ74" s="661">
        <f>+AQ73</f>
        <v>28731598.533409096</v>
      </c>
      <c r="AR74" s="630">
        <f>+AR73</f>
        <v>904932.23727272719</v>
      </c>
      <c r="AS74" s="630">
        <f t="shared" si="17"/>
        <v>27826666.296136368</v>
      </c>
      <c r="AT74" s="662">
        <f>+AQ$29*AS74+AR74</f>
        <v>6087931.1890611015</v>
      </c>
      <c r="AU74" s="776">
        <f>+AU73</f>
        <v>18625000</v>
      </c>
      <c r="AV74" s="775">
        <f>+AV73</f>
        <v>750000</v>
      </c>
      <c r="AW74" s="775">
        <f t="shared" si="1"/>
        <v>17875000</v>
      </c>
      <c r="AX74" s="757">
        <f>+AU$29*AW74+AV74</f>
        <v>750000</v>
      </c>
      <c r="AY74" s="776">
        <f>+AY73</f>
        <v>12083333.333333332</v>
      </c>
      <c r="AZ74" s="775">
        <f>+AZ73</f>
        <v>500000</v>
      </c>
      <c r="BA74" s="775">
        <f t="shared" si="2"/>
        <v>11583333.333333332</v>
      </c>
      <c r="BB74" s="757">
        <f>+AY$29*BA74+AZ74</f>
        <v>500000</v>
      </c>
      <c r="BC74" s="776">
        <f>+BC73</f>
        <v>19000000</v>
      </c>
      <c r="BD74" s="775">
        <f>+BD73</f>
        <v>750000</v>
      </c>
      <c r="BE74" s="775">
        <f t="shared" si="4"/>
        <v>18250000</v>
      </c>
      <c r="BF74" s="757">
        <f>+BC$29*BE74+BD74</f>
        <v>750000</v>
      </c>
      <c r="BG74" s="776">
        <f>+BG73</f>
        <v>11952380.952380959</v>
      </c>
      <c r="BH74" s="775">
        <f>+BH73</f>
        <v>571428.57142857148</v>
      </c>
      <c r="BI74" s="775">
        <f t="shared" si="5"/>
        <v>11380952.380952388</v>
      </c>
      <c r="BJ74" s="757">
        <f>+BG$29*BI74+BH74</f>
        <v>571428.57142857148</v>
      </c>
      <c r="BK74" s="776">
        <f>+BK73</f>
        <v>14000000</v>
      </c>
      <c r="BL74" s="775">
        <f>+BL73</f>
        <v>1200000</v>
      </c>
      <c r="BM74" s="775">
        <f t="shared" si="9"/>
        <v>12800000</v>
      </c>
      <c r="BN74" s="757">
        <f>+BK$29*BM74+BL74</f>
        <v>1200000</v>
      </c>
      <c r="BO74" s="776">
        <f>+BO73</f>
        <v>11166666.666666666</v>
      </c>
      <c r="BP74" s="775">
        <f>+BP73</f>
        <v>666666.66666666663</v>
      </c>
      <c r="BQ74" s="775">
        <f t="shared" si="10"/>
        <v>10500000</v>
      </c>
      <c r="BR74" s="757">
        <f>+BO$29*BQ74+BP74</f>
        <v>666666.66666666663</v>
      </c>
      <c r="BS74" s="661">
        <f>+BS73</f>
        <v>265948.36363636376</v>
      </c>
      <c r="BT74" s="630">
        <f>+BT73</f>
        <v>8310.886363636364</v>
      </c>
      <c r="BU74" s="630">
        <f t="shared" si="18"/>
        <v>257637.47727272741</v>
      </c>
      <c r="BV74" s="662">
        <f>+BS$29*BU74+BT74</f>
        <v>56298.480724925481</v>
      </c>
      <c r="BW74" s="661">
        <f>+BW73</f>
        <v>18603129.579545461</v>
      </c>
      <c r="BX74" s="630">
        <f>+BX73</f>
        <v>576841.22727272729</v>
      </c>
      <c r="BY74" s="630">
        <f t="shared" si="20"/>
        <v>18026288.352272734</v>
      </c>
      <c r="BZ74" s="662">
        <f>+BW$29*BY74+BX74</f>
        <v>3791046.2029857012</v>
      </c>
      <c r="CA74" s="661">
        <f>+CA73</f>
        <v>1755493.9200000009</v>
      </c>
      <c r="CB74" s="630">
        <f>+CB73</f>
        <v>54433.919999999998</v>
      </c>
      <c r="CC74" s="630">
        <f t="shared" si="21"/>
        <v>1701060.0000000009</v>
      </c>
      <c r="CD74" s="662">
        <f>+CA$29*CC74+CB74</f>
        <v>371273.60546937614</v>
      </c>
      <c r="CE74" s="661">
        <f>+CE73</f>
        <v>152382.18818181826</v>
      </c>
      <c r="CF74" s="630">
        <f>+CF73</f>
        <v>4725.0290909090909</v>
      </c>
      <c r="CG74" s="630">
        <f t="shared" si="22"/>
        <v>147657.15909090918</v>
      </c>
      <c r="CH74" s="662">
        <f>+CE$29*CG74+CF74</f>
        <v>32227.673232600315</v>
      </c>
      <c r="CI74" s="661">
        <f>+CI73</f>
        <v>411060.68181818165</v>
      </c>
      <c r="CJ74" s="630">
        <f>+CJ73</f>
        <v>12362.727272727272</v>
      </c>
      <c r="CK74" s="630">
        <f t="shared" si="24"/>
        <v>398697.95454545435</v>
      </c>
      <c r="CL74" s="662">
        <f>+CI$29*CK74+CJ74</f>
        <v>83453.177190278657</v>
      </c>
      <c r="CM74" s="661">
        <f>+CM73</f>
        <v>18017513.920170456</v>
      </c>
      <c r="CN74" s="630">
        <f>+CN73</f>
        <v>483691.64886363636</v>
      </c>
      <c r="CO74" s="630">
        <f t="shared" si="35"/>
        <v>17533822.27130682</v>
      </c>
      <c r="CP74" s="662">
        <f>+CM$29*CO74+CN74</f>
        <v>3610086.70514797</v>
      </c>
      <c r="CQ74" s="661">
        <f>+CQ73</f>
        <v>76169532.653011337</v>
      </c>
      <c r="CR74" s="630">
        <f>+CR73</f>
        <v>2017735.9643181816</v>
      </c>
      <c r="CS74" s="630">
        <f t="shared" si="40"/>
        <v>74151796.688693151</v>
      </c>
      <c r="CT74" s="662">
        <f>+CQ$29*CS74+CR74</f>
        <v>15239485.734275948</v>
      </c>
      <c r="CU74" s="661">
        <f>+CU73</f>
        <v>25695424.155000009</v>
      </c>
      <c r="CV74" s="630">
        <f>+CV73</f>
        <v>676195.37250000006</v>
      </c>
      <c r="CW74" s="630">
        <f t="shared" si="41"/>
        <v>25019228.78250001</v>
      </c>
      <c r="CX74" s="662">
        <f>+CU$29*CW74+CV74</f>
        <v>5137287.3105458003</v>
      </c>
      <c r="CY74" s="782">
        <f t="shared" si="25"/>
        <v>27288840.253986452</v>
      </c>
      <c r="CZ74" s="779">
        <f>+CY74</f>
        <v>27288840.253986452</v>
      </c>
      <c r="DA74" s="752"/>
      <c r="DD74" s="661">
        <f>+DD73</f>
        <v>1482498.0333333355</v>
      </c>
      <c r="DE74" s="630">
        <f t="shared" si="53"/>
        <v>1270712.6000000001</v>
      </c>
      <c r="DF74" s="630">
        <f t="shared" si="26"/>
        <v>211785.43333333544</v>
      </c>
      <c r="DG74" s="662">
        <f t="shared" si="42"/>
        <v>1313761.4758629673</v>
      </c>
      <c r="DH74" s="661">
        <f>+DH73</f>
        <v>1788808.7999999984</v>
      </c>
      <c r="DI74" s="630">
        <f t="shared" si="54"/>
        <v>894404.4</v>
      </c>
      <c r="DJ74" s="630">
        <f t="shared" si="27"/>
        <v>894404.39999999839</v>
      </c>
      <c r="DK74" s="662">
        <f t="shared" si="43"/>
        <v>1076206.8185180402</v>
      </c>
      <c r="DL74" s="661">
        <f>+DL73</f>
        <v>269212.29941666638</v>
      </c>
      <c r="DM74" s="630">
        <f t="shared" si="55"/>
        <v>140458.59099999999</v>
      </c>
      <c r="DN74" s="630">
        <f t="shared" si="28"/>
        <v>128753.7084166664</v>
      </c>
      <c r="DO74" s="662">
        <f t="shared" si="44"/>
        <v>166629.90185593558</v>
      </c>
      <c r="DP74" s="661">
        <f>+DP73</f>
        <v>33920.600000000006</v>
      </c>
      <c r="DQ74" s="630">
        <f t="shared" si="56"/>
        <v>16960.3</v>
      </c>
      <c r="DR74" s="630">
        <f t="shared" si="29"/>
        <v>16960.300000000007</v>
      </c>
      <c r="DS74" s="662">
        <f t="shared" si="45"/>
        <v>20407.760185562063</v>
      </c>
      <c r="DT74" s="661">
        <f>+DT73</f>
        <v>2716.5363333333335</v>
      </c>
      <c r="DU74" s="630">
        <f t="shared" si="57"/>
        <v>1253.7860000000001</v>
      </c>
      <c r="DV74" s="630">
        <f t="shared" si="34"/>
        <v>1462.7503333333334</v>
      </c>
      <c r="DW74" s="662">
        <f t="shared" si="46"/>
        <v>1551.1140859173659</v>
      </c>
      <c r="DX74" s="661">
        <f>+DX73</f>
        <v>9074834.9549999945</v>
      </c>
      <c r="DY74" s="630">
        <f t="shared" si="58"/>
        <v>4033259.9799999995</v>
      </c>
      <c r="DZ74" s="630">
        <f t="shared" si="30"/>
        <v>5041574.974999995</v>
      </c>
      <c r="EA74" s="662">
        <f t="shared" si="47"/>
        <v>5058043.0910793161</v>
      </c>
      <c r="EB74" s="661">
        <f>+EB73</f>
        <v>137054.46683333337</v>
      </c>
      <c r="EC74" s="630">
        <f t="shared" si="59"/>
        <v>53053.342000000004</v>
      </c>
      <c r="ED74" s="630">
        <f t="shared" si="31"/>
        <v>84001.124833333364</v>
      </c>
      <c r="EE74" s="662">
        <f t="shared" si="48"/>
        <v>70127.953498932533</v>
      </c>
      <c r="EF74" s="661">
        <f>+EF73</f>
        <v>-139258.9595</v>
      </c>
      <c r="EG74" s="630">
        <f t="shared" si="60"/>
        <v>-53906.693999999974</v>
      </c>
      <c r="EH74" s="630">
        <f t="shared" si="32"/>
        <v>-85352.265500000023</v>
      </c>
      <c r="EI74" s="662">
        <f t="shared" si="49"/>
        <v>-71255.947082715051</v>
      </c>
      <c r="EJ74" s="661">
        <f>+EJ73</f>
        <v>9427981.1278333385</v>
      </c>
      <c r="EK74" s="630">
        <f t="shared" si="61"/>
        <v>3327522.7509999997</v>
      </c>
      <c r="EL74" s="630">
        <f t="shared" si="33"/>
        <v>6100458.3768333383</v>
      </c>
      <c r="EM74" s="662">
        <f t="shared" si="50"/>
        <v>4567541.3454712937</v>
      </c>
      <c r="EN74" s="661">
        <f>+EN73</f>
        <v>145207.93874999994</v>
      </c>
      <c r="EO74" s="630">
        <f t="shared" si="62"/>
        <v>49785.578999999998</v>
      </c>
      <c r="EP74" s="630">
        <f t="shared" si="38"/>
        <v>95422.359749999945</v>
      </c>
      <c r="EQ74" s="662">
        <f t="shared" si="51"/>
        <v>69181.744518917971</v>
      </c>
      <c r="ER74" s="661">
        <f>+ER73</f>
        <v>614621.6684999998</v>
      </c>
      <c r="ES74" s="630">
        <f t="shared" si="63"/>
        <v>175606.19100000002</v>
      </c>
      <c r="ET74" s="630">
        <f t="shared" si="39"/>
        <v>439015.4774999998</v>
      </c>
      <c r="EU74" s="662">
        <f t="shared" si="52"/>
        <v>264843.31413619255</v>
      </c>
      <c r="EW74" s="661"/>
      <c r="EX74" s="630"/>
      <c r="EY74" s="630"/>
      <c r="EZ74" s="662"/>
      <c r="FA74" s="661"/>
      <c r="FB74" s="630"/>
      <c r="FC74" s="630"/>
      <c r="FD74" s="662"/>
    </row>
    <row r="75" spans="1:160">
      <c r="A75" s="753" t="s">
        <v>24</v>
      </c>
      <c r="B75" s="774">
        <v>2024</v>
      </c>
      <c r="C75" s="775">
        <f>+E74</f>
        <v>12816519.542613633</v>
      </c>
      <c r="D75" s="775">
        <f>+C$31</f>
        <v>445791.98409090913</v>
      </c>
      <c r="E75" s="775">
        <f t="shared" si="6"/>
        <v>12370727.558522724</v>
      </c>
      <c r="F75" s="757">
        <f>+C$28*E75+D75</f>
        <v>2651573.5235158121</v>
      </c>
      <c r="G75" s="775">
        <f>+I74</f>
        <v>3301461.362045452</v>
      </c>
      <c r="H75" s="775">
        <f>+G$31</f>
        <v>115840.74954545456</v>
      </c>
      <c r="I75" s="775">
        <f t="shared" si="7"/>
        <v>3185620.6124999975</v>
      </c>
      <c r="J75" s="757">
        <f>+G$28*I75+H75</f>
        <v>683857.7158412562</v>
      </c>
      <c r="K75" s="776">
        <f>+M74</f>
        <v>8475398.371534083</v>
      </c>
      <c r="L75" s="775">
        <f>+K$31</f>
        <v>305419.76113636367</v>
      </c>
      <c r="M75" s="775">
        <f t="shared" si="8"/>
        <v>8169978.6103977198</v>
      </c>
      <c r="N75" s="757">
        <f>+K$28*M75+L75</f>
        <v>1762180.3203725135</v>
      </c>
      <c r="O75" s="776">
        <f>+Q74</f>
        <v>3559603.4924242403</v>
      </c>
      <c r="P75" s="775">
        <f>+O$31</f>
        <v>119316.31818181818</v>
      </c>
      <c r="Q75" s="775">
        <f t="shared" si="11"/>
        <v>3440287.174242422</v>
      </c>
      <c r="R75" s="757">
        <f>+O$28*Q75+P75</f>
        <v>732741.99612718215</v>
      </c>
      <c r="S75" s="661">
        <f>+U74</f>
        <v>1642559.0369696948</v>
      </c>
      <c r="T75" s="630">
        <f>+S$31</f>
        <v>58315.705454545445</v>
      </c>
      <c r="U75" s="630">
        <f t="shared" si="12"/>
        <v>1584243.3315151492</v>
      </c>
      <c r="V75" s="662">
        <f>+S$28*U75+T75</f>
        <v>340796.64104071603</v>
      </c>
      <c r="W75" s="661">
        <f>+Y74</f>
        <v>20683259.473484851</v>
      </c>
      <c r="X75" s="630">
        <f>+W$31</f>
        <v>693293.61363636365</v>
      </c>
      <c r="Y75" s="630">
        <f t="shared" si="13"/>
        <v>19989965.859848488</v>
      </c>
      <c r="Z75" s="662">
        <f>+W$28*Y75+X75</f>
        <v>4257635.1173024075</v>
      </c>
      <c r="AA75" s="661">
        <f>+AC74</f>
        <v>13487429.422348481</v>
      </c>
      <c r="AB75" s="630">
        <f>+AA$31</f>
        <v>450833.29545454547</v>
      </c>
      <c r="AC75" s="630">
        <f t="shared" si="14"/>
        <v>13036596.126893936</v>
      </c>
      <c r="AD75" s="662">
        <f>+AA$28*AC75+AB75</f>
        <v>2775343.5506197461</v>
      </c>
      <c r="AE75" s="661">
        <f>+AG74</f>
        <v>135637.64772727288</v>
      </c>
      <c r="AF75" s="630">
        <f>+AE$31</f>
        <v>4597.886363636364</v>
      </c>
      <c r="AG75" s="630">
        <f t="shared" si="15"/>
        <v>131039.76136363651</v>
      </c>
      <c r="AH75" s="662">
        <f>+AE$28*AG75+AF75</f>
        <v>27963.131873987819</v>
      </c>
      <c r="AI75" s="661">
        <f>+AK74</f>
        <v>9112712.4810606074</v>
      </c>
      <c r="AJ75" s="630">
        <f>+AI$31</f>
        <v>295547.43181818182</v>
      </c>
      <c r="AK75" s="630">
        <f t="shared" si="19"/>
        <v>8817165.0492424257</v>
      </c>
      <c r="AL75" s="662">
        <f>+AI$28*AK75+AJ75</f>
        <v>1867705.5610530579</v>
      </c>
      <c r="AM75" s="661">
        <f>+AO74</f>
        <v>3381440.928295454</v>
      </c>
      <c r="AN75" s="630">
        <f>+AM$31</f>
        <v>110866.91568181818</v>
      </c>
      <c r="AO75" s="630">
        <f t="shared" si="16"/>
        <v>3270574.012613636</v>
      </c>
      <c r="AP75" s="662">
        <f>+AM$28*AO75+AN75</f>
        <v>694031.62820317969</v>
      </c>
      <c r="AQ75" s="661">
        <f>+AS74</f>
        <v>27826666.296136368</v>
      </c>
      <c r="AR75" s="630">
        <f>+AQ$31</f>
        <v>904932.23727272719</v>
      </c>
      <c r="AS75" s="630">
        <f t="shared" si="17"/>
        <v>26921734.05886364</v>
      </c>
      <c r="AT75" s="662">
        <f>+AQ$28*AS75+AR75</f>
        <v>5705253.2948192805</v>
      </c>
      <c r="AU75" s="776">
        <f>+AW74</f>
        <v>17875000</v>
      </c>
      <c r="AV75" s="775">
        <f>+AU$31</f>
        <v>750000</v>
      </c>
      <c r="AW75" s="775">
        <f t="shared" si="1"/>
        <v>17125000</v>
      </c>
      <c r="AX75" s="757">
        <f>+AU$28*AW75+AV75</f>
        <v>750000</v>
      </c>
      <c r="AY75" s="776">
        <f>+BA74</f>
        <v>11583333.333333332</v>
      </c>
      <c r="AZ75" s="775">
        <f>+AY$31</f>
        <v>500000</v>
      </c>
      <c r="BA75" s="775">
        <f t="shared" si="2"/>
        <v>11083333.333333332</v>
      </c>
      <c r="BB75" s="757">
        <f>+AY$28*BA75+AZ75</f>
        <v>500000</v>
      </c>
      <c r="BC75" s="776">
        <f>+BE74</f>
        <v>18250000</v>
      </c>
      <c r="BD75" s="775">
        <f>+BC$31</f>
        <v>750000</v>
      </c>
      <c r="BE75" s="775">
        <f t="shared" si="4"/>
        <v>17500000</v>
      </c>
      <c r="BF75" s="757">
        <f>+BC$28*BE75+BD75</f>
        <v>750000</v>
      </c>
      <c r="BG75" s="776">
        <f>+BI74</f>
        <v>11380952.380952388</v>
      </c>
      <c r="BH75" s="775">
        <f>+BG$31</f>
        <v>571428.57142857148</v>
      </c>
      <c r="BI75" s="775">
        <f t="shared" si="5"/>
        <v>10809523.809523817</v>
      </c>
      <c r="BJ75" s="757">
        <f>+BG$28*BI75+BH75</f>
        <v>571428.57142857148</v>
      </c>
      <c r="BK75" s="776">
        <f>+BM74</f>
        <v>12800000</v>
      </c>
      <c r="BL75" s="775">
        <f>+BK$31</f>
        <v>1200000</v>
      </c>
      <c r="BM75" s="775">
        <f t="shared" si="9"/>
        <v>11600000</v>
      </c>
      <c r="BN75" s="757">
        <f>+BK$28*BM75+BL75</f>
        <v>1200000</v>
      </c>
      <c r="BO75" s="776">
        <f>+BQ74</f>
        <v>10500000</v>
      </c>
      <c r="BP75" s="775">
        <f>+BO$31</f>
        <v>666666.66666666663</v>
      </c>
      <c r="BQ75" s="775">
        <f t="shared" si="10"/>
        <v>9833333.333333334</v>
      </c>
      <c r="BR75" s="757">
        <f>+BO$28*BQ75+BP75</f>
        <v>666666.66666666663</v>
      </c>
      <c r="BS75" s="661">
        <f>+BU74</f>
        <v>257637.47727272741</v>
      </c>
      <c r="BT75" s="630">
        <f>+BS$31</f>
        <v>8310.886363636364</v>
      </c>
      <c r="BU75" s="630">
        <f t="shared" si="18"/>
        <v>249326.59090909106</v>
      </c>
      <c r="BV75" s="662">
        <f>+BS$28*BU75+BT75</f>
        <v>52767.446328545382</v>
      </c>
      <c r="BW75" s="661">
        <f>+BY74</f>
        <v>18026288.352272734</v>
      </c>
      <c r="BX75" s="630">
        <f>+BW$31</f>
        <v>576841.22727272729</v>
      </c>
      <c r="BY75" s="630">
        <f t="shared" si="20"/>
        <v>17449447.125000007</v>
      </c>
      <c r="BZ75" s="662">
        <f>+BW$28*BY75+BX75</f>
        <v>3688191.6437628865</v>
      </c>
      <c r="CA75" s="661">
        <f>+CC74</f>
        <v>1701060.0000000009</v>
      </c>
      <c r="CB75" s="630">
        <f>+CA$31</f>
        <v>54433.919999999998</v>
      </c>
      <c r="CC75" s="630">
        <f t="shared" si="21"/>
        <v>1646626.080000001</v>
      </c>
      <c r="CD75" s="662">
        <f>+CA$28*CC75+CB75</f>
        <v>348038.10717630625</v>
      </c>
      <c r="CE75" s="661">
        <f>+CG74</f>
        <v>147657.15909090918</v>
      </c>
      <c r="CF75" s="630">
        <f>+CE$31</f>
        <v>4725.0290909090909</v>
      </c>
      <c r="CG75" s="630">
        <f t="shared" si="22"/>
        <v>142932.13000000009</v>
      </c>
      <c r="CH75" s="662">
        <f>+CE$28*CG75+CF75</f>
        <v>30210.761619831588</v>
      </c>
      <c r="CI75" s="661">
        <f>+CK74</f>
        <v>398697.95454545435</v>
      </c>
      <c r="CJ75" s="630">
        <f>+CI$31</f>
        <v>12362.727272727272</v>
      </c>
      <c r="CK75" s="630">
        <f t="shared" si="24"/>
        <v>386335.22727272706</v>
      </c>
      <c r="CL75" s="662">
        <f>+CI$28*CK75+CJ75</f>
        <v>81248.822154075518</v>
      </c>
      <c r="CM75" s="661">
        <f>+CO74</f>
        <v>17533822.27130682</v>
      </c>
      <c r="CN75" s="630">
        <f>+CM$31</f>
        <v>483691.64886363636</v>
      </c>
      <c r="CO75" s="630">
        <f t="shared" si="35"/>
        <v>17050130.622443184</v>
      </c>
      <c r="CP75" s="662">
        <f>+CM$28*CO75+CN75</f>
        <v>3523841.324284954</v>
      </c>
      <c r="CQ75" s="661">
        <f>+CS74</f>
        <v>74151796.688693151</v>
      </c>
      <c r="CR75" s="630">
        <f>+CQ$31</f>
        <v>2017735.9643181816</v>
      </c>
      <c r="CS75" s="630">
        <f t="shared" si="40"/>
        <v>72134060.724374965</v>
      </c>
      <c r="CT75" s="662">
        <f>+CQ$28*CS75+CR75</f>
        <v>14879710.230331518</v>
      </c>
      <c r="CU75" s="661">
        <f>+CW74</f>
        <v>25019228.78250001</v>
      </c>
      <c r="CV75" s="630">
        <f>+CU$31</f>
        <v>676195.37250000006</v>
      </c>
      <c r="CW75" s="630">
        <f t="shared" si="41"/>
        <v>24343033.410000011</v>
      </c>
      <c r="CX75" s="662">
        <f>+CU$28*CW75+CV75</f>
        <v>5016717.2581661828</v>
      </c>
      <c r="CY75" s="782">
        <f t="shared" si="25"/>
        <v>25699539.261810787</v>
      </c>
      <c r="CZ75" s="756"/>
      <c r="DA75" s="778">
        <f>+CY75</f>
        <v>25699539.261810787</v>
      </c>
      <c r="DD75" s="661">
        <f>+DF74</f>
        <v>211785.43333333544</v>
      </c>
      <c r="DE75" s="630">
        <f>+DD$31/12*(12-10)</f>
        <v>211785.43333333335</v>
      </c>
      <c r="DF75" s="630">
        <f t="shared" si="26"/>
        <v>2.0954757928848267E-9</v>
      </c>
      <c r="DG75" s="662">
        <f t="shared" si="42"/>
        <v>211785.43333333379</v>
      </c>
      <c r="DH75" s="661">
        <f>+DJ74</f>
        <v>894404.39999999839</v>
      </c>
      <c r="DI75" s="630">
        <f>+DH$31/12*(12-0)</f>
        <v>894404.39999999991</v>
      </c>
      <c r="DJ75" s="630">
        <f t="shared" si="27"/>
        <v>-1.5133991837501526E-9</v>
      </c>
      <c r="DK75" s="662">
        <f t="shared" si="43"/>
        <v>894404.39999999956</v>
      </c>
      <c r="DL75" s="661">
        <f>+DN74</f>
        <v>128753.7084166664</v>
      </c>
      <c r="DM75" s="630">
        <f>+DL$31/12*(12-1)</f>
        <v>128753.70841666666</v>
      </c>
      <c r="DN75" s="630">
        <f t="shared" si="28"/>
        <v>-2.6193447411060333E-10</v>
      </c>
      <c r="DO75" s="662">
        <f t="shared" si="44"/>
        <v>128753.7084166666</v>
      </c>
      <c r="DP75" s="661">
        <f>+DR74</f>
        <v>16960.300000000007</v>
      </c>
      <c r="DQ75" s="630">
        <f>+DP$31/12*(12-0)</f>
        <v>16960.3</v>
      </c>
      <c r="DR75" s="630">
        <f t="shared" si="29"/>
        <v>0</v>
      </c>
      <c r="DS75" s="662">
        <f t="shared" si="45"/>
        <v>16960.3</v>
      </c>
      <c r="DT75" s="661">
        <f>+DV74</f>
        <v>1462.7503333333334</v>
      </c>
      <c r="DU75" s="630">
        <f t="shared" si="57"/>
        <v>1253.7860000000001</v>
      </c>
      <c r="DV75" s="630">
        <f t="shared" ref="DV75:DV76" si="64">+DT75-DU75</f>
        <v>208.96433333333334</v>
      </c>
      <c r="DW75" s="662">
        <f t="shared" ref="DW75:DW76" si="65">+DT$29*DV75+DU75</f>
        <v>1296.261440845338</v>
      </c>
      <c r="DX75" s="661">
        <f>+DZ74</f>
        <v>5041574.974999995</v>
      </c>
      <c r="DY75" s="630">
        <f t="shared" si="58"/>
        <v>4033259.9799999995</v>
      </c>
      <c r="DZ75" s="630">
        <f t="shared" ref="DZ75:DZ76" si="66">+DX75-DY75</f>
        <v>1008314.9949999955</v>
      </c>
      <c r="EA75" s="662">
        <f t="shared" ref="EA75:EA76" si="67">+DX$29*DZ75+DY75</f>
        <v>4238216.6022158619</v>
      </c>
      <c r="EB75" s="661">
        <f>+ED74</f>
        <v>84001.124833333364</v>
      </c>
      <c r="EC75" s="630">
        <f t="shared" si="59"/>
        <v>53053.342000000004</v>
      </c>
      <c r="ED75" s="630">
        <f t="shared" ref="ED75:ED76" si="68">+EB75-EC75</f>
        <v>30947.78283333336</v>
      </c>
      <c r="EE75" s="662">
        <f t="shared" ref="EE75:EE76" si="69">+EB$29*ED75+EC75</f>
        <v>59343.988341711993</v>
      </c>
      <c r="EF75" s="661">
        <f>+EH74</f>
        <v>-85352.265500000023</v>
      </c>
      <c r="EG75" s="630">
        <f t="shared" si="60"/>
        <v>-53906.693999999974</v>
      </c>
      <c r="EH75" s="630">
        <f t="shared" si="32"/>
        <v>-31445.571500000049</v>
      </c>
      <c r="EI75" s="662">
        <f t="shared" si="49"/>
        <v>-60298.524083105534</v>
      </c>
      <c r="EJ75" s="661">
        <f>+EL74</f>
        <v>6100458.3768333383</v>
      </c>
      <c r="EK75" s="630">
        <f t="shared" si="61"/>
        <v>3327522.7509999997</v>
      </c>
      <c r="EL75" s="630">
        <f t="shared" si="33"/>
        <v>2772935.6258333386</v>
      </c>
      <c r="EM75" s="662">
        <f t="shared" si="50"/>
        <v>3891167.5666687703</v>
      </c>
      <c r="EN75" s="661">
        <f>+EP74</f>
        <v>95422.359749999945</v>
      </c>
      <c r="EO75" s="630">
        <f t="shared" si="62"/>
        <v>49785.578999999998</v>
      </c>
      <c r="EP75" s="630">
        <f t="shared" si="38"/>
        <v>45636.780749999947</v>
      </c>
      <c r="EQ75" s="662">
        <f t="shared" si="51"/>
        <v>59062.005987308592</v>
      </c>
      <c r="ER75" s="661">
        <f>+ET74</f>
        <v>439015.4774999998</v>
      </c>
      <c r="ES75" s="630">
        <f t="shared" si="63"/>
        <v>175606.19100000002</v>
      </c>
      <c r="ET75" s="630">
        <f t="shared" si="39"/>
        <v>263409.28649999981</v>
      </c>
      <c r="EU75" s="662">
        <f t="shared" si="52"/>
        <v>229148.46488171554</v>
      </c>
      <c r="EW75" s="661"/>
      <c r="EX75" s="630"/>
      <c r="EY75" s="630"/>
      <c r="EZ75" s="662"/>
      <c r="FA75" s="661"/>
      <c r="FB75" s="630"/>
      <c r="FC75" s="630"/>
      <c r="FD75" s="662"/>
    </row>
    <row r="76" spans="1:160">
      <c r="A76" s="753" t="s">
        <v>23</v>
      </c>
      <c r="B76" s="774">
        <v>2024</v>
      </c>
      <c r="C76" s="775">
        <f>+C75</f>
        <v>12816519.542613633</v>
      </c>
      <c r="D76" s="775">
        <f>+D75</f>
        <v>445791.98409090913</v>
      </c>
      <c r="E76" s="775">
        <f t="shared" si="6"/>
        <v>12370727.558522724</v>
      </c>
      <c r="F76" s="757">
        <f>+C$29*E76+D76</f>
        <v>2749965.5162824141</v>
      </c>
      <c r="G76" s="775">
        <f>+G75</f>
        <v>3301461.362045452</v>
      </c>
      <c r="H76" s="775">
        <f>+H75</f>
        <v>115840.74954545456</v>
      </c>
      <c r="I76" s="775">
        <f t="shared" si="7"/>
        <v>3185620.6124999975</v>
      </c>
      <c r="J76" s="757">
        <f>+G$29*I76+H76</f>
        <v>709194.91276677535</v>
      </c>
      <c r="K76" s="776">
        <f>+K75</f>
        <v>8475398.371534083</v>
      </c>
      <c r="L76" s="775">
        <f>+L75</f>
        <v>305419.76113636367</v>
      </c>
      <c r="M76" s="775">
        <f t="shared" si="8"/>
        <v>8169978.6103977198</v>
      </c>
      <c r="N76" s="757">
        <f>+K$29*M76+L76</f>
        <v>1827161.1772004315</v>
      </c>
      <c r="O76" s="776">
        <f>+O75</f>
        <v>3559603.4924242403</v>
      </c>
      <c r="P76" s="775">
        <f>+P75</f>
        <v>119316.31818181818</v>
      </c>
      <c r="Q76" s="775">
        <f t="shared" si="11"/>
        <v>3440287.174242422</v>
      </c>
      <c r="R76" s="757">
        <f>+O$29*Q76+P76</f>
        <v>760104.71260135504</v>
      </c>
      <c r="S76" s="661">
        <f>+S75</f>
        <v>1642559.0369696948</v>
      </c>
      <c r="T76" s="630">
        <f>+T75</f>
        <v>58315.705454545445</v>
      </c>
      <c r="U76" s="630">
        <f t="shared" si="12"/>
        <v>1584243.3315151492</v>
      </c>
      <c r="V76" s="662">
        <f>+S$29*U76+T76</f>
        <v>353397.10109268647</v>
      </c>
      <c r="W76" s="661">
        <f>+W75</f>
        <v>20683259.473484851</v>
      </c>
      <c r="X76" s="630">
        <f>+X75</f>
        <v>693293.61363636365</v>
      </c>
      <c r="Y76" s="630">
        <f t="shared" si="13"/>
        <v>19989965.859848488</v>
      </c>
      <c r="Z76" s="662">
        <f>+W$29*Y76+X76</f>
        <v>4416627.5910257315</v>
      </c>
      <c r="AA76" s="661">
        <f>+AA75</f>
        <v>13487429.422348481</v>
      </c>
      <c r="AB76" s="630">
        <f>+AB75</f>
        <v>450833.29545454547</v>
      </c>
      <c r="AC76" s="630">
        <f t="shared" si="14"/>
        <v>13036596.126893936</v>
      </c>
      <c r="AD76" s="662">
        <f>+AA$29*AC76+AB76</f>
        <v>2879031.6050005695</v>
      </c>
      <c r="AE76" s="661">
        <f>+AE75</f>
        <v>135637.64772727288</v>
      </c>
      <c r="AF76" s="630">
        <f>+AF75</f>
        <v>4597.886363636364</v>
      </c>
      <c r="AG76" s="630">
        <f t="shared" si="15"/>
        <v>131039.76136363651</v>
      </c>
      <c r="AH76" s="662">
        <f>+AE$29*AG76+AF76</f>
        <v>29005.371563709657</v>
      </c>
      <c r="AI76" s="661">
        <f>+AI75</f>
        <v>9112712.4810606074</v>
      </c>
      <c r="AJ76" s="630">
        <f>+AJ75</f>
        <v>295547.43181818182</v>
      </c>
      <c r="AK76" s="630">
        <f t="shared" si="19"/>
        <v>8817165.0492424257</v>
      </c>
      <c r="AL76" s="662">
        <f>+AI$29*AK76+AJ76</f>
        <v>1937833.8890469363</v>
      </c>
      <c r="AM76" s="661">
        <f>+AM75</f>
        <v>3381440.928295454</v>
      </c>
      <c r="AN76" s="630">
        <f>+AN75</f>
        <v>110866.91568181818</v>
      </c>
      <c r="AO76" s="630">
        <f t="shared" si="16"/>
        <v>3270574.012613636</v>
      </c>
      <c r="AP76" s="662">
        <f>+AM$29*AO76+AN76</f>
        <v>720044.51168714382</v>
      </c>
      <c r="AQ76" s="661">
        <f>+AQ75</f>
        <v>27826666.296136368</v>
      </c>
      <c r="AR76" s="630">
        <f>+AR75</f>
        <v>904932.23727272719</v>
      </c>
      <c r="AS76" s="630">
        <f t="shared" si="17"/>
        <v>26921734.05886364</v>
      </c>
      <c r="AT76" s="662">
        <f>+AQ$29*AS76+AR76</f>
        <v>5919378.3776208293</v>
      </c>
      <c r="AU76" s="776">
        <f>+AU75</f>
        <v>17875000</v>
      </c>
      <c r="AV76" s="775">
        <f>+AV75</f>
        <v>750000</v>
      </c>
      <c r="AW76" s="775">
        <f t="shared" si="1"/>
        <v>17125000</v>
      </c>
      <c r="AX76" s="757">
        <f>+AU$29*AW76+AV76</f>
        <v>750000</v>
      </c>
      <c r="AY76" s="776">
        <f>+AY75</f>
        <v>11583333.333333332</v>
      </c>
      <c r="AZ76" s="775">
        <f>+AZ75</f>
        <v>500000</v>
      </c>
      <c r="BA76" s="775">
        <f t="shared" si="2"/>
        <v>11083333.333333332</v>
      </c>
      <c r="BB76" s="757">
        <f>+AY$29*BA76+AZ76</f>
        <v>500000</v>
      </c>
      <c r="BC76" s="776">
        <f>+BC75</f>
        <v>18250000</v>
      </c>
      <c r="BD76" s="775">
        <f>+BD75</f>
        <v>750000</v>
      </c>
      <c r="BE76" s="775">
        <f t="shared" si="4"/>
        <v>17500000</v>
      </c>
      <c r="BF76" s="757">
        <f>+BC$29*BE76+BD76</f>
        <v>750000</v>
      </c>
      <c r="BG76" s="776">
        <f>+BG75</f>
        <v>11380952.380952388</v>
      </c>
      <c r="BH76" s="775">
        <f>+BH75</f>
        <v>571428.57142857148</v>
      </c>
      <c r="BI76" s="775">
        <f t="shared" si="5"/>
        <v>10809523.809523817</v>
      </c>
      <c r="BJ76" s="757">
        <f>+BG$29*BI76+BH76</f>
        <v>571428.57142857148</v>
      </c>
      <c r="BK76" s="776">
        <f>+BK75</f>
        <v>12800000</v>
      </c>
      <c r="BL76" s="775">
        <f>+BL75</f>
        <v>1200000</v>
      </c>
      <c r="BM76" s="775">
        <f t="shared" si="9"/>
        <v>11600000</v>
      </c>
      <c r="BN76" s="757">
        <f>+BK$29*BM76+BL76</f>
        <v>1200000</v>
      </c>
      <c r="BO76" s="776">
        <f>+BO75</f>
        <v>10500000</v>
      </c>
      <c r="BP76" s="775">
        <f>+BP75</f>
        <v>666666.66666666663</v>
      </c>
      <c r="BQ76" s="775">
        <f t="shared" si="10"/>
        <v>9833333.333333334</v>
      </c>
      <c r="BR76" s="757">
        <f>+BO$29*BQ76+BP76</f>
        <v>666666.66666666663</v>
      </c>
      <c r="BS76" s="661">
        <f>+BS75</f>
        <v>257637.47727272741</v>
      </c>
      <c r="BT76" s="630">
        <f>+BT75</f>
        <v>8310.886363636364</v>
      </c>
      <c r="BU76" s="630">
        <f t="shared" si="18"/>
        <v>249326.59090909106</v>
      </c>
      <c r="BV76" s="662">
        <f>+BS$29*BU76+BT76</f>
        <v>54750.493810045184</v>
      </c>
      <c r="BW76" s="661">
        <f>+BW75</f>
        <v>18026288.352272734</v>
      </c>
      <c r="BX76" s="630">
        <f>+BX75</f>
        <v>576841.22727272729</v>
      </c>
      <c r="BY76" s="630">
        <f t="shared" si="20"/>
        <v>17449447.125000007</v>
      </c>
      <c r="BZ76" s="662">
        <f>+BW$29*BY76+BX76</f>
        <v>3688191.6437628865</v>
      </c>
      <c r="CA76" s="661">
        <f>+CA75</f>
        <v>1701060.0000000009</v>
      </c>
      <c r="CB76" s="630">
        <f>+CB75</f>
        <v>54433.919999999998</v>
      </c>
      <c r="CC76" s="630">
        <f t="shared" si="21"/>
        <v>1646626.080000001</v>
      </c>
      <c r="CD76" s="662">
        <f>+CA$29*CC76+CB76</f>
        <v>361134.73553435609</v>
      </c>
      <c r="CE76" s="661">
        <f>+CE75</f>
        <v>147657.15909090918</v>
      </c>
      <c r="CF76" s="630">
        <f>+CF75</f>
        <v>4725.0290909090909</v>
      </c>
      <c r="CG76" s="630">
        <f t="shared" si="22"/>
        <v>142932.13000000009</v>
      </c>
      <c r="CH76" s="662">
        <f>+CE$29*CG76+CF76</f>
        <v>31347.588620066195</v>
      </c>
      <c r="CI76" s="661">
        <f>+CI75</f>
        <v>398697.95454545435</v>
      </c>
      <c r="CJ76" s="630">
        <f>+CJ75</f>
        <v>12362.727272727272</v>
      </c>
      <c r="CK76" s="630">
        <f t="shared" si="24"/>
        <v>386335.22727272706</v>
      </c>
      <c r="CL76" s="662">
        <f>+CI$29*CK76+CJ76</f>
        <v>81248.822154075518</v>
      </c>
      <c r="CM76" s="661">
        <f>+CM75</f>
        <v>17533822.27130682</v>
      </c>
      <c r="CN76" s="630">
        <f>+CN75</f>
        <v>483691.64886363636</v>
      </c>
      <c r="CO76" s="630">
        <f t="shared" si="35"/>
        <v>17050130.622443184</v>
      </c>
      <c r="CP76" s="662">
        <f>+CM$29*CO76+CN76</f>
        <v>3523841.324284954</v>
      </c>
      <c r="CQ76" s="661">
        <f>+CQ75</f>
        <v>74151796.688693151</v>
      </c>
      <c r="CR76" s="630">
        <f>+CR75</f>
        <v>2017735.9643181816</v>
      </c>
      <c r="CS76" s="630">
        <f t="shared" si="40"/>
        <v>72134060.724374965</v>
      </c>
      <c r="CT76" s="662">
        <f>+CQ$29*CS76+CR76</f>
        <v>14879710.230331518</v>
      </c>
      <c r="CU76" s="661">
        <f>+CU75</f>
        <v>25019228.78250001</v>
      </c>
      <c r="CV76" s="630">
        <f>+CV75</f>
        <v>676195.37250000006</v>
      </c>
      <c r="CW76" s="630">
        <f t="shared" si="41"/>
        <v>24343033.410000011</v>
      </c>
      <c r="CX76" s="662">
        <f>+CU$29*CW76+CV76</f>
        <v>5016717.2581661828</v>
      </c>
      <c r="CY76" s="782">
        <f t="shared" si="25"/>
        <v>26518418.049770016</v>
      </c>
      <c r="CZ76" s="779">
        <f>+CY76</f>
        <v>26518418.049770016</v>
      </c>
      <c r="DA76" s="752"/>
      <c r="DD76" s="661">
        <f>+DD75</f>
        <v>211785.43333333544</v>
      </c>
      <c r="DE76" s="630">
        <f>+DE75</f>
        <v>211785.43333333335</v>
      </c>
      <c r="DF76" s="630">
        <f t="shared" si="26"/>
        <v>2.0954757928848267E-9</v>
      </c>
      <c r="DG76" s="662">
        <f t="shared" si="42"/>
        <v>211785.43333333379</v>
      </c>
      <c r="DH76" s="661">
        <f>+DH75</f>
        <v>894404.39999999839</v>
      </c>
      <c r="DI76" s="630">
        <f>+DI75</f>
        <v>894404.39999999991</v>
      </c>
      <c r="DJ76" s="630">
        <f t="shared" si="27"/>
        <v>-1.5133991837501526E-9</v>
      </c>
      <c r="DK76" s="662">
        <f t="shared" si="43"/>
        <v>894404.39999999956</v>
      </c>
      <c r="DL76" s="661">
        <f>+DL75</f>
        <v>128753.7084166664</v>
      </c>
      <c r="DM76" s="630">
        <f>+DM75</f>
        <v>128753.70841666666</v>
      </c>
      <c r="DN76" s="630">
        <f t="shared" si="28"/>
        <v>-2.6193447411060333E-10</v>
      </c>
      <c r="DO76" s="662">
        <f t="shared" si="44"/>
        <v>128753.7084166666</v>
      </c>
      <c r="DP76" s="661">
        <f>+DP75</f>
        <v>16960.300000000007</v>
      </c>
      <c r="DQ76" s="630">
        <f>+DQ75</f>
        <v>16960.3</v>
      </c>
      <c r="DR76" s="630">
        <f t="shared" si="29"/>
        <v>0</v>
      </c>
      <c r="DS76" s="662">
        <f t="shared" si="45"/>
        <v>16960.3</v>
      </c>
      <c r="DT76" s="661">
        <f>+DT75</f>
        <v>1462.7503333333334</v>
      </c>
      <c r="DU76" s="630">
        <f t="shared" si="57"/>
        <v>1253.7860000000001</v>
      </c>
      <c r="DV76" s="630">
        <f t="shared" si="64"/>
        <v>208.96433333333334</v>
      </c>
      <c r="DW76" s="662">
        <f t="shared" si="65"/>
        <v>1296.261440845338</v>
      </c>
      <c r="DX76" s="661">
        <f>+DX75</f>
        <v>5041574.974999995</v>
      </c>
      <c r="DY76" s="630">
        <f t="shared" si="58"/>
        <v>4033259.9799999995</v>
      </c>
      <c r="DZ76" s="630">
        <f t="shared" si="66"/>
        <v>1008314.9949999955</v>
      </c>
      <c r="EA76" s="662">
        <f t="shared" si="67"/>
        <v>4238216.6022158619</v>
      </c>
      <c r="EB76" s="661">
        <f>+EB75</f>
        <v>84001.124833333364</v>
      </c>
      <c r="EC76" s="630">
        <f t="shared" si="59"/>
        <v>53053.342000000004</v>
      </c>
      <c r="ED76" s="630">
        <f t="shared" si="68"/>
        <v>30947.78283333336</v>
      </c>
      <c r="EE76" s="662">
        <f t="shared" si="69"/>
        <v>59343.988341711993</v>
      </c>
      <c r="EF76" s="661">
        <f>+EF75</f>
        <v>-85352.265500000023</v>
      </c>
      <c r="EG76" s="630">
        <f t="shared" si="60"/>
        <v>-53906.693999999974</v>
      </c>
      <c r="EH76" s="630">
        <f t="shared" si="32"/>
        <v>-31445.571500000049</v>
      </c>
      <c r="EI76" s="662">
        <f t="shared" si="49"/>
        <v>-60298.524083105534</v>
      </c>
      <c r="EJ76" s="661">
        <f>+EJ75</f>
        <v>6100458.3768333383</v>
      </c>
      <c r="EK76" s="630">
        <f t="shared" si="61"/>
        <v>3327522.7509999997</v>
      </c>
      <c r="EL76" s="630">
        <f t="shared" si="33"/>
        <v>2772935.6258333386</v>
      </c>
      <c r="EM76" s="662">
        <f t="shared" si="50"/>
        <v>3891167.5666687703</v>
      </c>
      <c r="EN76" s="661">
        <f>+EN75</f>
        <v>95422.359749999945</v>
      </c>
      <c r="EO76" s="630">
        <f t="shared" si="62"/>
        <v>49785.578999999998</v>
      </c>
      <c r="EP76" s="630">
        <f t="shared" si="38"/>
        <v>45636.780749999947</v>
      </c>
      <c r="EQ76" s="662">
        <f t="shared" si="51"/>
        <v>59062.005987308592</v>
      </c>
      <c r="ER76" s="661">
        <f>+ER75</f>
        <v>439015.4774999998</v>
      </c>
      <c r="ES76" s="630">
        <f t="shared" si="63"/>
        <v>175606.19100000002</v>
      </c>
      <c r="ET76" s="630">
        <f t="shared" si="39"/>
        <v>263409.28649999981</v>
      </c>
      <c r="EU76" s="662">
        <f t="shared" si="52"/>
        <v>229148.46488171554</v>
      </c>
      <c r="EW76" s="661"/>
      <c r="EX76" s="630"/>
      <c r="EY76" s="630"/>
      <c r="EZ76" s="662"/>
      <c r="FA76" s="661"/>
      <c r="FB76" s="630"/>
      <c r="FC76" s="630"/>
      <c r="FD76" s="662"/>
    </row>
    <row r="77" spans="1:160">
      <c r="A77" s="753" t="s">
        <v>24</v>
      </c>
      <c r="B77" s="774">
        <v>2025</v>
      </c>
      <c r="C77" s="775">
        <f>+E76</f>
        <v>12370727.558522724</v>
      </c>
      <c r="D77" s="775">
        <f>+C$31</f>
        <v>445791.98409090913</v>
      </c>
      <c r="E77" s="775">
        <f t="shared" si="6"/>
        <v>11924935.574431814</v>
      </c>
      <c r="F77" s="757">
        <f>+C$28*E77+D77</f>
        <v>2572085.9004734736</v>
      </c>
      <c r="G77" s="775">
        <f>+I76</f>
        <v>3185620.6124999975</v>
      </c>
      <c r="H77" s="775">
        <f>+G$31</f>
        <v>115840.74954545456</v>
      </c>
      <c r="I77" s="775">
        <f t="shared" si="7"/>
        <v>3069779.862954543</v>
      </c>
      <c r="J77" s="757">
        <f>+G$28*I77+H77</f>
        <v>663202.55343049974</v>
      </c>
      <c r="K77" s="776">
        <f>+M76</f>
        <v>8169978.6103977198</v>
      </c>
      <c r="L77" s="775">
        <f>+K$31</f>
        <v>305419.76113636367</v>
      </c>
      <c r="M77" s="775">
        <f t="shared" si="8"/>
        <v>7864558.8492613565</v>
      </c>
      <c r="N77" s="757">
        <f>+K$28*M77+L77</f>
        <v>1707721.9817094801</v>
      </c>
      <c r="O77" s="776">
        <f>+Q76</f>
        <v>3440287.174242422</v>
      </c>
      <c r="P77" s="775">
        <f>+O$31</f>
        <v>119316.31818181818</v>
      </c>
      <c r="Q77" s="775">
        <f t="shared" si="11"/>
        <v>3320970.8560606036</v>
      </c>
      <c r="R77" s="757">
        <f>+O$28*Q77+P77</f>
        <v>711467.11712329672</v>
      </c>
      <c r="S77" s="661">
        <f>+U76</f>
        <v>1584243.3315151492</v>
      </c>
      <c r="T77" s="630">
        <f>+S$31</f>
        <v>58315.705454545445</v>
      </c>
      <c r="U77" s="630">
        <f t="shared" si="12"/>
        <v>1525927.6260606037</v>
      </c>
      <c r="V77" s="662">
        <f>+S$28*U77+T77</f>
        <v>330398.56979214534</v>
      </c>
      <c r="W77" s="661">
        <f>+Y76</f>
        <v>19989965.859848488</v>
      </c>
      <c r="X77" s="630">
        <f>+W$31</f>
        <v>693293.61363636365</v>
      </c>
      <c r="Y77" s="630">
        <f t="shared" si="13"/>
        <v>19296672.246212125</v>
      </c>
      <c r="Z77" s="662">
        <f>+W$28*Y77+X77</f>
        <v>4134016.3368284414</v>
      </c>
      <c r="AA77" s="661">
        <f>+AC76</f>
        <v>13036596.126893936</v>
      </c>
      <c r="AB77" s="630">
        <f>+AA$31</f>
        <v>450833.29545454547</v>
      </c>
      <c r="AC77" s="630">
        <f t="shared" si="14"/>
        <v>12585762.831439391</v>
      </c>
      <c r="AD77" s="662">
        <f>+AA$28*AC77+AB77</f>
        <v>2694957.0288272896</v>
      </c>
      <c r="AE77" s="661">
        <f>+AG76</f>
        <v>131039.76136363651</v>
      </c>
      <c r="AF77" s="630">
        <f>+AE$31</f>
        <v>4597.886363636364</v>
      </c>
      <c r="AG77" s="630">
        <f t="shared" si="15"/>
        <v>126441.87500000015</v>
      </c>
      <c r="AH77" s="662">
        <f>+AE$28*AG77+AF77</f>
        <v>27143.298698186016</v>
      </c>
      <c r="AI77" s="661">
        <f>+AK76</f>
        <v>8817165.0492424257</v>
      </c>
      <c r="AJ77" s="630">
        <f>+AI$31</f>
        <v>295547.43181818182</v>
      </c>
      <c r="AK77" s="630">
        <f t="shared" si="19"/>
        <v>8521617.6174242441</v>
      </c>
      <c r="AL77" s="662">
        <f>+AI$28*AK77+AJ77</f>
        <v>1815007.5232016095</v>
      </c>
      <c r="AM77" s="661">
        <f>+AO76</f>
        <v>3270574.012613636</v>
      </c>
      <c r="AN77" s="630">
        <f>+AM$31</f>
        <v>110866.91568181818</v>
      </c>
      <c r="AO77" s="630">
        <f t="shared" si="16"/>
        <v>3159707.0969318179</v>
      </c>
      <c r="AP77" s="662">
        <f>+AM$28*AO77+AN77</f>
        <v>674263.33286347252</v>
      </c>
      <c r="AQ77" s="661">
        <f>+AS76</f>
        <v>26921734.05886364</v>
      </c>
      <c r="AR77" s="630">
        <f>+AQ$31</f>
        <v>904932.23727272719</v>
      </c>
      <c r="AS77" s="630">
        <f t="shared" si="17"/>
        <v>26016801.821590912</v>
      </c>
      <c r="AT77" s="662">
        <f>+AQ$28*AS77+AR77</f>
        <v>5543897.9651538497</v>
      </c>
      <c r="AU77" s="775"/>
      <c r="AV77" s="775"/>
      <c r="AW77" s="775"/>
      <c r="AX77" s="757"/>
      <c r="AY77" s="775"/>
      <c r="AZ77" s="775"/>
      <c r="BA77" s="775"/>
      <c r="BB77" s="757"/>
      <c r="BC77" s="775"/>
      <c r="BD77" s="775"/>
      <c r="BE77" s="775"/>
      <c r="BF77" s="757"/>
      <c r="BG77" s="775"/>
      <c r="BH77" s="775"/>
      <c r="BI77" s="775"/>
      <c r="BJ77" s="757"/>
      <c r="BK77" s="775"/>
      <c r="BL77" s="775"/>
      <c r="BM77" s="775"/>
      <c r="BN77" s="757"/>
      <c r="BO77" s="775"/>
      <c r="BP77" s="775"/>
      <c r="BQ77" s="775"/>
      <c r="BR77" s="757"/>
      <c r="BS77" s="661">
        <f>+BU76</f>
        <v>249326.59090909106</v>
      </c>
      <c r="BT77" s="630">
        <f>+BS$31</f>
        <v>8310.886363636364</v>
      </c>
      <c r="BU77" s="630">
        <f t="shared" si="18"/>
        <v>241015.7045454547</v>
      </c>
      <c r="BV77" s="662">
        <f>+BS$28*BU77+BT77</f>
        <v>51285.560996381741</v>
      </c>
      <c r="BW77" s="661">
        <f>+BY76</f>
        <v>17449447.125000007</v>
      </c>
      <c r="BX77" s="630">
        <f>+BW$31</f>
        <v>576841.22727272729</v>
      </c>
      <c r="BY77" s="630">
        <f t="shared" si="20"/>
        <v>16872605.897727281</v>
      </c>
      <c r="BZ77" s="662">
        <f>+BW$28*BY77+BX77</f>
        <v>3585337.0845400719</v>
      </c>
      <c r="CA77" s="661">
        <f>+CC76</f>
        <v>1646626.080000001</v>
      </c>
      <c r="CB77" s="630">
        <f>+CA$31</f>
        <v>54433.919999999998</v>
      </c>
      <c r="CC77" s="630">
        <f t="shared" si="21"/>
        <v>1592192.1600000011</v>
      </c>
      <c r="CD77" s="662">
        <f>+CA$28*CC77+CB77</f>
        <v>338332.1836332879</v>
      </c>
      <c r="CE77" s="661">
        <f>+CG76</f>
        <v>142932.13000000009</v>
      </c>
      <c r="CF77" s="630">
        <f>+CE$31</f>
        <v>4725.0290909090909</v>
      </c>
      <c r="CG77" s="630">
        <f t="shared" si="22"/>
        <v>138207.10090909101</v>
      </c>
      <c r="CH77" s="662">
        <f>+CE$28*CG77+CF77</f>
        <v>29368.258065156468</v>
      </c>
      <c r="CI77" s="661">
        <f>+CK76</f>
        <v>386335.22727272706</v>
      </c>
      <c r="CJ77" s="630">
        <f>+CI$31</f>
        <v>12362.727272727272</v>
      </c>
      <c r="CK77" s="630">
        <f t="shared" si="24"/>
        <v>373972.49999999977</v>
      </c>
      <c r="CL77" s="662">
        <f>+CI$28*CK77+CJ77</f>
        <v>79044.467117872351</v>
      </c>
      <c r="CM77" s="661">
        <f>+CO76</f>
        <v>17050130.622443184</v>
      </c>
      <c r="CN77" s="630">
        <f>+CM$31</f>
        <v>483691.64886363636</v>
      </c>
      <c r="CO77" s="630">
        <f t="shared" si="35"/>
        <v>16566438.973579548</v>
      </c>
      <c r="CP77" s="662">
        <f>+CM$28*CO77+CN77</f>
        <v>3437595.943421938</v>
      </c>
      <c r="CQ77" s="661">
        <f>+CS76</f>
        <v>72134060.724374965</v>
      </c>
      <c r="CR77" s="630">
        <f>+CQ$31</f>
        <v>2017735.9643181816</v>
      </c>
      <c r="CS77" s="630">
        <f t="shared" si="40"/>
        <v>70116324.760056779</v>
      </c>
      <c r="CT77" s="662">
        <f>+CQ$28*CS77+CR77</f>
        <v>14519934.726387089</v>
      </c>
      <c r="CU77" s="661">
        <f>+CW76</f>
        <v>24343033.410000011</v>
      </c>
      <c r="CV77" s="630">
        <f>+CU$31</f>
        <v>676195.37250000006</v>
      </c>
      <c r="CW77" s="630">
        <f t="shared" si="41"/>
        <v>23666838.037500013</v>
      </c>
      <c r="CX77" s="662">
        <f>+CU$28*CW77+CV77</f>
        <v>4896147.2057865672</v>
      </c>
      <c r="CY77" s="782">
        <f t="shared" si="25"/>
        <v>24957529.162454516</v>
      </c>
      <c r="CZ77" s="756"/>
      <c r="DA77" s="778">
        <f>+CY77</f>
        <v>24957529.162454516</v>
      </c>
      <c r="DD77" s="661"/>
      <c r="DE77" s="630"/>
      <c r="DF77" s="630"/>
      <c r="DG77" s="662"/>
      <c r="DH77" s="661"/>
      <c r="DI77" s="630"/>
      <c r="DJ77" s="630"/>
      <c r="DK77" s="662"/>
      <c r="DL77" s="661"/>
      <c r="DM77" s="630"/>
      <c r="DN77" s="630"/>
      <c r="DO77" s="662"/>
      <c r="DP77" s="661"/>
      <c r="DQ77" s="630"/>
      <c r="DR77" s="630"/>
      <c r="DS77" s="662"/>
      <c r="DT77" s="661">
        <f>+DV76</f>
        <v>208.96433333333334</v>
      </c>
      <c r="DU77" s="630">
        <f>+DT$31/12*(12-10)</f>
        <v>208.96433333333334</v>
      </c>
      <c r="DV77" s="630">
        <f t="shared" ref="DV77:DV78" si="70">+DT77-DU77</f>
        <v>0</v>
      </c>
      <c r="DW77" s="662">
        <f t="shared" ref="DW77:DW78" si="71">+DT$29*DV77+DU77</f>
        <v>208.96433333333334</v>
      </c>
      <c r="DX77" s="661">
        <f>+DZ76</f>
        <v>1008314.9949999955</v>
      </c>
      <c r="DY77" s="630">
        <f>+DX$31/12*(12-9)</f>
        <v>1008314.9949999999</v>
      </c>
      <c r="DZ77" s="630">
        <f>+DX77-DY77</f>
        <v>-4.4237822294235229E-9</v>
      </c>
      <c r="EA77" s="662">
        <f>+DX$29*DZ77+DY77</f>
        <v>1008314.9949999989</v>
      </c>
      <c r="EB77" s="661">
        <f>+ED76</f>
        <v>30947.78283333336</v>
      </c>
      <c r="EC77" s="630">
        <f>+EB$31/12*(12-5)</f>
        <v>30947.782833333335</v>
      </c>
      <c r="ED77" s="630">
        <f>+EB77-EC77</f>
        <v>0</v>
      </c>
      <c r="EE77" s="662">
        <f>+EB$29*ED77+EC77</f>
        <v>30947.782833333335</v>
      </c>
      <c r="EF77" s="661">
        <f>+EH76</f>
        <v>-31445.571500000049</v>
      </c>
      <c r="EG77" s="630">
        <f>+EF$31/12*(12-5)</f>
        <v>-31445.571499999984</v>
      </c>
      <c r="EH77" s="630">
        <f>+EF77-EG77</f>
        <v>-6.5483618527650833E-11</v>
      </c>
      <c r="EI77" s="662">
        <f>+EF$29*EH77+EG77</f>
        <v>-31445.571499999998</v>
      </c>
      <c r="EJ77" s="661">
        <f>+EL76</f>
        <v>2772935.6258333386</v>
      </c>
      <c r="EK77" s="630">
        <f>+EJ$31/12*(12-2)</f>
        <v>2772935.625833333</v>
      </c>
      <c r="EL77" s="630">
        <f>+EJ77-EK77</f>
        <v>5.5879354476928711E-9</v>
      </c>
      <c r="EM77" s="662">
        <f>+EJ$29*EL77+EK77</f>
        <v>2772935.6258333339</v>
      </c>
      <c r="EN77" s="661">
        <f>+EP76</f>
        <v>45636.780749999947</v>
      </c>
      <c r="EO77" s="630">
        <f>+EN$31/12*(12-1)</f>
        <v>45636.780749999998</v>
      </c>
      <c r="EP77" s="630">
        <f>+EN77-EO77</f>
        <v>0</v>
      </c>
      <c r="EQ77" s="662">
        <f>+EN$29*EP77+EO77</f>
        <v>45636.780749999998</v>
      </c>
      <c r="ER77" s="661">
        <f>+ET76</f>
        <v>263409.28649999981</v>
      </c>
      <c r="ES77" s="630">
        <f>+ES75</f>
        <v>175606.19100000002</v>
      </c>
      <c r="ET77" s="630">
        <f>+ER77-ES77</f>
        <v>87803.095499999792</v>
      </c>
      <c r="EU77" s="662">
        <f>+ER$29*ET77+ES77</f>
        <v>193453.6156272385</v>
      </c>
      <c r="EW77" s="661"/>
      <c r="EX77" s="630"/>
      <c r="EY77" s="630"/>
      <c r="EZ77" s="662"/>
      <c r="FA77" s="661"/>
      <c r="FB77" s="630"/>
      <c r="FC77" s="630"/>
      <c r="FD77" s="662"/>
    </row>
    <row r="78" spans="1:160">
      <c r="A78" s="753" t="s">
        <v>23</v>
      </c>
      <c r="B78" s="774">
        <v>2025</v>
      </c>
      <c r="C78" s="775">
        <f>+C77</f>
        <v>12370727.558522724</v>
      </c>
      <c r="D78" s="775">
        <f>+D77</f>
        <v>445791.98409090913</v>
      </c>
      <c r="E78" s="775">
        <f t="shared" si="6"/>
        <v>11924935.574431814</v>
      </c>
      <c r="F78" s="757">
        <f>+C$29*E78+D78</f>
        <v>2666932.2358430801</v>
      </c>
      <c r="G78" s="775">
        <f>+G77</f>
        <v>3185620.6124999975</v>
      </c>
      <c r="H78" s="775">
        <f>+H77</f>
        <v>115840.74954545456</v>
      </c>
      <c r="I78" s="775">
        <f t="shared" si="7"/>
        <v>3069779.862954543</v>
      </c>
      <c r="J78" s="757">
        <f>+G$29*I78+H78</f>
        <v>687618.39774054545</v>
      </c>
      <c r="K78" s="776">
        <f>+K77</f>
        <v>8169978.6103977198</v>
      </c>
      <c r="L78" s="775">
        <f>+L77</f>
        <v>305419.76113636367</v>
      </c>
      <c r="M78" s="775">
        <f t="shared" si="8"/>
        <v>7864558.8492613565</v>
      </c>
      <c r="N78" s="757">
        <f>+K$29*M78+L78</f>
        <v>1770273.647627943</v>
      </c>
      <c r="O78" s="776">
        <f>+O77</f>
        <v>3440287.174242422</v>
      </c>
      <c r="P78" s="775">
        <f>+P77</f>
        <v>119316.31818181818</v>
      </c>
      <c r="Q78" s="775">
        <f t="shared" si="11"/>
        <v>3320970.8560606036</v>
      </c>
      <c r="R78" s="757">
        <f>+O$29*Q78+P78</f>
        <v>737880.83765038825</v>
      </c>
      <c r="S78" s="661">
        <f>+S77</f>
        <v>1584243.3315151492</v>
      </c>
      <c r="T78" s="630">
        <f>+T77</f>
        <v>58315.705454545445</v>
      </c>
      <c r="U78" s="630">
        <f t="shared" si="12"/>
        <v>1525927.6260606037</v>
      </c>
      <c r="V78" s="662">
        <f>+S$29*U78+T78</f>
        <v>342535.20922870579</v>
      </c>
      <c r="W78" s="661">
        <f>+W77</f>
        <v>19989965.859848488</v>
      </c>
      <c r="X78" s="630">
        <f>+X77</f>
        <v>693293.61363636365</v>
      </c>
      <c r="Y78" s="630">
        <f t="shared" si="13"/>
        <v>19296672.246212125</v>
      </c>
      <c r="Z78" s="662">
        <f>+W$29*Y78+X78</f>
        <v>4287494.6207116498</v>
      </c>
      <c r="AA78" s="661">
        <f>+AA77</f>
        <v>13036596.126893936</v>
      </c>
      <c r="AB78" s="630">
        <f>+AB77</f>
        <v>450833.29545454547</v>
      </c>
      <c r="AC78" s="630">
        <f t="shared" si="14"/>
        <v>12585762.831439391</v>
      </c>
      <c r="AD78" s="662">
        <f>+AA$29*AC78+AB78</f>
        <v>2795059.329166125</v>
      </c>
      <c r="AE78" s="661">
        <f>+AE77</f>
        <v>131039.76136363651</v>
      </c>
      <c r="AF78" s="630">
        <f>+AF77</f>
        <v>4597.886363636364</v>
      </c>
      <c r="AG78" s="630">
        <f t="shared" si="15"/>
        <v>126441.87500000015</v>
      </c>
      <c r="AH78" s="662">
        <f>+AE$29*AG78+AF78</f>
        <v>28148.968574233404</v>
      </c>
      <c r="AI78" s="661">
        <f>+AI77</f>
        <v>8817165.0492424257</v>
      </c>
      <c r="AJ78" s="630">
        <f>+AJ77</f>
        <v>295547.43181818182</v>
      </c>
      <c r="AK78" s="630">
        <f t="shared" si="19"/>
        <v>8521617.6174242441</v>
      </c>
      <c r="AL78" s="662">
        <f>+AI$29*AK78+AJ78</f>
        <v>1882785.1809834028</v>
      </c>
      <c r="AM78" s="661">
        <f>+AM77</f>
        <v>3270574.012613636</v>
      </c>
      <c r="AN78" s="630">
        <f>+AN77</f>
        <v>110866.91568181818</v>
      </c>
      <c r="AO78" s="630">
        <f t="shared" si="16"/>
        <v>3159707.0969318179</v>
      </c>
      <c r="AP78" s="662">
        <f>+AM$29*AO78+AN78</f>
        <v>699394.42368696327</v>
      </c>
      <c r="AQ78" s="661">
        <f>+AQ77</f>
        <v>26921734.05886364</v>
      </c>
      <c r="AR78" s="630">
        <f>+AR77</f>
        <v>904932.23727272719</v>
      </c>
      <c r="AS78" s="630">
        <f t="shared" si="17"/>
        <v>26016801.821590912</v>
      </c>
      <c r="AT78" s="662">
        <f>+AQ$29*AS78+AR78</f>
        <v>5750825.566180557</v>
      </c>
      <c r="AU78" s="775"/>
      <c r="AV78" s="775"/>
      <c r="AW78" s="775"/>
      <c r="AX78" s="757"/>
      <c r="AY78" s="775"/>
      <c r="AZ78" s="775"/>
      <c r="BA78" s="775"/>
      <c r="BB78" s="757"/>
      <c r="BC78" s="775"/>
      <c r="BD78" s="775"/>
      <c r="BE78" s="775"/>
      <c r="BF78" s="757"/>
      <c r="BG78" s="775"/>
      <c r="BH78" s="775"/>
      <c r="BI78" s="775"/>
      <c r="BJ78" s="757"/>
      <c r="BK78" s="775"/>
      <c r="BL78" s="775"/>
      <c r="BM78" s="775"/>
      <c r="BN78" s="757"/>
      <c r="BO78" s="775"/>
      <c r="BP78" s="775"/>
      <c r="BQ78" s="775"/>
      <c r="BR78" s="757"/>
      <c r="BS78" s="661">
        <f>+BS77</f>
        <v>249326.59090909106</v>
      </c>
      <c r="BT78" s="630">
        <f>+BT77</f>
        <v>8310.886363636364</v>
      </c>
      <c r="BU78" s="630">
        <f t="shared" si="18"/>
        <v>241015.7045454547</v>
      </c>
      <c r="BV78" s="662">
        <f>+BS$29*BU78+BT78</f>
        <v>53202.506895164886</v>
      </c>
      <c r="BW78" s="661">
        <f>+BW77</f>
        <v>17449447.125000007</v>
      </c>
      <c r="BX78" s="630">
        <f>+BX77</f>
        <v>576841.22727272729</v>
      </c>
      <c r="BY78" s="630">
        <f t="shared" si="20"/>
        <v>16872605.897727281</v>
      </c>
      <c r="BZ78" s="662">
        <f>+BW$29*BY78+BX78</f>
        <v>3585337.0845400719</v>
      </c>
      <c r="CA78" s="661">
        <f>+CA77</f>
        <v>1646626.080000001</v>
      </c>
      <c r="CB78" s="630">
        <f>+CB77</f>
        <v>54433.919999999998</v>
      </c>
      <c r="CC78" s="630">
        <f t="shared" si="21"/>
        <v>1592192.1600000011</v>
      </c>
      <c r="CD78" s="662">
        <f>+CA$29*CC78+CB78</f>
        <v>350995.8655993361</v>
      </c>
      <c r="CE78" s="661">
        <f>+CE77</f>
        <v>142932.13000000009</v>
      </c>
      <c r="CF78" s="630">
        <f>+CF77</f>
        <v>4725.0290909090909</v>
      </c>
      <c r="CG78" s="630">
        <f t="shared" si="22"/>
        <v>138207.10090909101</v>
      </c>
      <c r="CH78" s="662">
        <f>+CE$29*CG78+CF78</f>
        <v>30467.504007532079</v>
      </c>
      <c r="CI78" s="661">
        <f>+CI77</f>
        <v>386335.22727272706</v>
      </c>
      <c r="CJ78" s="630">
        <f>+CJ77</f>
        <v>12362.727272727272</v>
      </c>
      <c r="CK78" s="630">
        <f t="shared" si="24"/>
        <v>373972.49999999977</v>
      </c>
      <c r="CL78" s="662">
        <f>+CI$29*CK78+CJ78</f>
        <v>79044.467117872351</v>
      </c>
      <c r="CM78" s="661">
        <f>+CM77</f>
        <v>17050130.622443184</v>
      </c>
      <c r="CN78" s="630">
        <f>+CN77</f>
        <v>483691.64886363636</v>
      </c>
      <c r="CO78" s="630">
        <f t="shared" si="35"/>
        <v>16566438.973579548</v>
      </c>
      <c r="CP78" s="662">
        <f>+CM$29*CO78+CN78</f>
        <v>3437595.943421938</v>
      </c>
      <c r="CQ78" s="661">
        <f>+CQ77</f>
        <v>72134060.724374965</v>
      </c>
      <c r="CR78" s="630">
        <f>+CR77</f>
        <v>2017735.9643181816</v>
      </c>
      <c r="CS78" s="630">
        <f t="shared" si="40"/>
        <v>70116324.760056779</v>
      </c>
      <c r="CT78" s="662">
        <f>+CQ$29*CS78+CR78</f>
        <v>14519934.726387089</v>
      </c>
      <c r="CU78" s="661">
        <f>+CU77</f>
        <v>24343033.410000011</v>
      </c>
      <c r="CV78" s="630">
        <f>+CV77</f>
        <v>676195.37250000006</v>
      </c>
      <c r="CW78" s="630">
        <f t="shared" si="41"/>
        <v>23666838.037500013</v>
      </c>
      <c r="CX78" s="662">
        <f>+CU$29*CW78+CV78</f>
        <v>4896147.2057865672</v>
      </c>
      <c r="CY78" s="782">
        <f t="shared" si="25"/>
        <v>25747995.845553573</v>
      </c>
      <c r="CZ78" s="779">
        <f>+CY78</f>
        <v>25747995.845553573</v>
      </c>
      <c r="DA78" s="752"/>
      <c r="DD78" s="661"/>
      <c r="DE78" s="630"/>
      <c r="DF78" s="630"/>
      <c r="DG78" s="662"/>
      <c r="DH78" s="661"/>
      <c r="DI78" s="630"/>
      <c r="DJ78" s="630"/>
      <c r="DK78" s="662"/>
      <c r="DL78" s="661"/>
      <c r="DM78" s="630"/>
      <c r="DN78" s="630"/>
      <c r="DO78" s="662"/>
      <c r="DP78" s="661"/>
      <c r="DQ78" s="630"/>
      <c r="DR78" s="630"/>
      <c r="DS78" s="662"/>
      <c r="DT78" s="661">
        <f>+DT77</f>
        <v>208.96433333333334</v>
      </c>
      <c r="DU78" s="630">
        <f>+DU77</f>
        <v>208.96433333333334</v>
      </c>
      <c r="DV78" s="630">
        <f t="shared" si="70"/>
        <v>0</v>
      </c>
      <c r="DW78" s="662">
        <f t="shared" si="71"/>
        <v>208.96433333333334</v>
      </c>
      <c r="DX78" s="661">
        <f>+DX77</f>
        <v>1008314.9949999955</v>
      </c>
      <c r="DY78" s="630">
        <f>+DY77</f>
        <v>1008314.9949999999</v>
      </c>
      <c r="DZ78" s="630">
        <f>+DX78-DY78</f>
        <v>-4.4237822294235229E-9</v>
      </c>
      <c r="EA78" s="662">
        <f>+DX$29*DZ78+DY78</f>
        <v>1008314.9949999989</v>
      </c>
      <c r="EB78" s="661">
        <f>+EB77</f>
        <v>30947.78283333336</v>
      </c>
      <c r="EC78" s="630">
        <f>+EC77</f>
        <v>30947.782833333335</v>
      </c>
      <c r="ED78" s="630">
        <f>+EB78-EC78</f>
        <v>0</v>
      </c>
      <c r="EE78" s="662">
        <f>+EB$29*ED78+EC78</f>
        <v>30947.782833333335</v>
      </c>
      <c r="EF78" s="661">
        <f>+EF77</f>
        <v>-31445.571500000049</v>
      </c>
      <c r="EG78" s="630">
        <f>+EG77</f>
        <v>-31445.571499999984</v>
      </c>
      <c r="EH78" s="630">
        <f>+EF78-EG78</f>
        <v>-6.5483618527650833E-11</v>
      </c>
      <c r="EI78" s="662">
        <f>+EF$29*EH78+EG78</f>
        <v>-31445.571499999998</v>
      </c>
      <c r="EJ78" s="661">
        <f>+EJ77</f>
        <v>2772935.6258333386</v>
      </c>
      <c r="EK78" s="630">
        <f>+EK77</f>
        <v>2772935.625833333</v>
      </c>
      <c r="EL78" s="630">
        <f>+EJ78-EK78</f>
        <v>5.5879354476928711E-9</v>
      </c>
      <c r="EM78" s="662">
        <f>+EJ$29*EL78+EK78</f>
        <v>2772935.6258333339</v>
      </c>
      <c r="EN78" s="661">
        <f>+EN77</f>
        <v>45636.780749999947</v>
      </c>
      <c r="EO78" s="630">
        <f>+EO77</f>
        <v>45636.780749999998</v>
      </c>
      <c r="EP78" s="630">
        <f>+EN78-EO78</f>
        <v>0</v>
      </c>
      <c r="EQ78" s="662">
        <f>+EN$29*EP78+EO78</f>
        <v>45636.780749999998</v>
      </c>
      <c r="ER78" s="661">
        <f>+ER77</f>
        <v>263409.28649999981</v>
      </c>
      <c r="ES78" s="630">
        <f>+ES76</f>
        <v>175606.19100000002</v>
      </c>
      <c r="ET78" s="630">
        <f>+ER78-ES78</f>
        <v>87803.095499999792</v>
      </c>
      <c r="EU78" s="662">
        <f>+ER$29*ET78+ES78</f>
        <v>193453.6156272385</v>
      </c>
      <c r="EW78" s="661"/>
      <c r="EX78" s="630"/>
      <c r="EY78" s="630"/>
      <c r="EZ78" s="662"/>
      <c r="FA78" s="661"/>
      <c r="FB78" s="630"/>
      <c r="FC78" s="630"/>
      <c r="FD78" s="662"/>
    </row>
    <row r="79" spans="1:160">
      <c r="A79" s="753" t="s">
        <v>24</v>
      </c>
      <c r="B79" s="774">
        <v>2026</v>
      </c>
      <c r="C79" s="775">
        <f>+E78</f>
        <v>11924935.574431814</v>
      </c>
      <c r="D79" s="775">
        <f>+C$31</f>
        <v>445791.98409090913</v>
      </c>
      <c r="E79" s="775">
        <f t="shared" si="6"/>
        <v>11479143.590340905</v>
      </c>
      <c r="F79" s="757">
        <f>+C$28*E79+D79</f>
        <v>2492598.2774311341</v>
      </c>
      <c r="G79" s="775">
        <f>+I78</f>
        <v>3069779.862954543</v>
      </c>
      <c r="H79" s="775">
        <f>+G$31</f>
        <v>115840.74954545456</v>
      </c>
      <c r="I79" s="775">
        <f t="shared" si="7"/>
        <v>2953939.1134090885</v>
      </c>
      <c r="J79" s="757">
        <f>+G$28*I79+H79</f>
        <v>642547.3910197434</v>
      </c>
      <c r="K79" s="776">
        <f>+M78</f>
        <v>7864558.8492613565</v>
      </c>
      <c r="L79" s="775">
        <f>+K$31</f>
        <v>305419.76113636367</v>
      </c>
      <c r="M79" s="775">
        <f t="shared" si="8"/>
        <v>7559139.0881249933</v>
      </c>
      <c r="N79" s="757">
        <f>+K$28*M79+L79</f>
        <v>1653263.6430464464</v>
      </c>
      <c r="O79" s="776">
        <f>+Q78</f>
        <v>3320970.8560606036</v>
      </c>
      <c r="P79" s="775">
        <f>+O$31</f>
        <v>119316.31818181818</v>
      </c>
      <c r="Q79" s="775">
        <f t="shared" si="11"/>
        <v>3201654.5378787853</v>
      </c>
      <c r="R79" s="757">
        <f>+O$28*Q79+P79</f>
        <v>690192.23811941128</v>
      </c>
      <c r="S79" s="661">
        <f>+U78</f>
        <v>1525927.6260606037</v>
      </c>
      <c r="T79" s="630">
        <f>+S$31</f>
        <v>58315.705454545445</v>
      </c>
      <c r="U79" s="630">
        <f t="shared" si="12"/>
        <v>1467611.9206060581</v>
      </c>
      <c r="V79" s="662">
        <f>+S$28*U79+T79</f>
        <v>320000.49854357459</v>
      </c>
      <c r="W79" s="661">
        <f>+Y78</f>
        <v>19296672.246212125</v>
      </c>
      <c r="X79" s="630">
        <f>+W$31</f>
        <v>693293.61363636365</v>
      </c>
      <c r="Y79" s="630">
        <f t="shared" si="13"/>
        <v>18603378.632575762</v>
      </c>
      <c r="Z79" s="662">
        <f>+W$28*Y79+X79</f>
        <v>4010397.5563544743</v>
      </c>
      <c r="AA79" s="661">
        <f>+AC78</f>
        <v>12585762.831439391</v>
      </c>
      <c r="AB79" s="630">
        <f>+AA$31</f>
        <v>450833.29545454547</v>
      </c>
      <c r="AC79" s="630">
        <f t="shared" si="14"/>
        <v>12134929.535984846</v>
      </c>
      <c r="AD79" s="662">
        <f>+AA$28*AC79+AB79</f>
        <v>2614570.5070348331</v>
      </c>
      <c r="AE79" s="661">
        <f>+AG78</f>
        <v>126441.87500000015</v>
      </c>
      <c r="AF79" s="630">
        <f>+AE$31</f>
        <v>4597.886363636364</v>
      </c>
      <c r="AG79" s="630">
        <f t="shared" si="15"/>
        <v>121843.98863636378</v>
      </c>
      <c r="AH79" s="662">
        <f>+AE$28*AG79+AF79</f>
        <v>26323.465522384209</v>
      </c>
      <c r="AI79" s="661">
        <f>+AK78</f>
        <v>8521617.6174242441</v>
      </c>
      <c r="AJ79" s="630">
        <f>+AI$31</f>
        <v>295547.43181818182</v>
      </c>
      <c r="AK79" s="630">
        <f t="shared" si="19"/>
        <v>8226070.1856060624</v>
      </c>
      <c r="AL79" s="662">
        <f>+AI$28*AK79+AJ79</f>
        <v>1762309.4853501613</v>
      </c>
      <c r="AM79" s="661">
        <f>+AO78</f>
        <v>3159707.0969318179</v>
      </c>
      <c r="AN79" s="630">
        <f>+AM$31</f>
        <v>110866.91568181818</v>
      </c>
      <c r="AO79" s="630">
        <f t="shared" si="16"/>
        <v>3048840.1812499999</v>
      </c>
      <c r="AP79" s="662">
        <f>+AM$28*AO79+AN79</f>
        <v>654495.03752376535</v>
      </c>
      <c r="AQ79" s="661">
        <f>+AS78</f>
        <v>26016801.821590912</v>
      </c>
      <c r="AR79" s="630">
        <f>+AQ$31</f>
        <v>904932.23727272719</v>
      </c>
      <c r="AS79" s="630">
        <f t="shared" si="17"/>
        <v>25111869.584318183</v>
      </c>
      <c r="AT79" s="662">
        <f>+AQ$28*AS79+AR79</f>
        <v>5382542.6354884189</v>
      </c>
      <c r="AU79" s="775"/>
      <c r="AV79" s="775"/>
      <c r="AW79" s="775"/>
      <c r="AX79" s="757"/>
      <c r="AY79" s="775"/>
      <c r="AZ79" s="775"/>
      <c r="BA79" s="775"/>
      <c r="BB79" s="757"/>
      <c r="BC79" s="775"/>
      <c r="BD79" s="775"/>
      <c r="BE79" s="775"/>
      <c r="BF79" s="757"/>
      <c r="BG79" s="775"/>
      <c r="BH79" s="775"/>
      <c r="BI79" s="775"/>
      <c r="BJ79" s="757"/>
      <c r="BK79" s="775"/>
      <c r="BL79" s="775"/>
      <c r="BM79" s="775"/>
      <c r="BN79" s="757"/>
      <c r="BO79" s="775"/>
      <c r="BP79" s="775"/>
      <c r="BQ79" s="775"/>
      <c r="BR79" s="757"/>
      <c r="BS79" s="661">
        <f>+BU78</f>
        <v>241015.7045454547</v>
      </c>
      <c r="BT79" s="630">
        <f>+BS$31</f>
        <v>8310.886363636364</v>
      </c>
      <c r="BU79" s="630">
        <f t="shared" si="18"/>
        <v>232704.81818181835</v>
      </c>
      <c r="BV79" s="662">
        <f>+BS$28*BU79+BT79</f>
        <v>49803.675664218114</v>
      </c>
      <c r="BW79" s="661">
        <f>+BY78</f>
        <v>16872605.897727281</v>
      </c>
      <c r="BX79" s="630">
        <f>+BW$31</f>
        <v>576841.22727272729</v>
      </c>
      <c r="BY79" s="630">
        <f t="shared" si="20"/>
        <v>16295764.670454554</v>
      </c>
      <c r="BZ79" s="662">
        <f>+BW$28*BY79+BX79</f>
        <v>3482482.5253172563</v>
      </c>
      <c r="CA79" s="661">
        <f>+CC78</f>
        <v>1592192.1600000011</v>
      </c>
      <c r="CB79" s="630">
        <f>+CA$31</f>
        <v>54433.919999999998</v>
      </c>
      <c r="CC79" s="630">
        <f t="shared" si="21"/>
        <v>1537758.2400000012</v>
      </c>
      <c r="CD79" s="662">
        <f>+CA$28*CC79+CB79</f>
        <v>328626.2600902695</v>
      </c>
      <c r="CE79" s="661">
        <f>+CG78</f>
        <v>138207.10090909101</v>
      </c>
      <c r="CF79" s="630">
        <f>+CE$31</f>
        <v>4725.0290909090909</v>
      </c>
      <c r="CG79" s="630">
        <f t="shared" si="22"/>
        <v>133482.07181818192</v>
      </c>
      <c r="CH79" s="662">
        <f>+CE$28*CG79+CF79</f>
        <v>28525.754510481347</v>
      </c>
      <c r="CI79" s="661">
        <f>+CK78</f>
        <v>373972.49999999977</v>
      </c>
      <c r="CJ79" s="630">
        <f>+CI$31</f>
        <v>12362.727272727272</v>
      </c>
      <c r="CK79" s="630">
        <f t="shared" si="24"/>
        <v>361609.77272727247</v>
      </c>
      <c r="CL79" s="662">
        <f>+CI$28*CK79+CJ79</f>
        <v>76840.112081669213</v>
      </c>
      <c r="CM79" s="661">
        <f>+CO78</f>
        <v>16566438.973579548</v>
      </c>
      <c r="CN79" s="630">
        <f>+CM$31</f>
        <v>483691.64886363636</v>
      </c>
      <c r="CO79" s="630">
        <f t="shared" si="35"/>
        <v>16082747.324715912</v>
      </c>
      <c r="CP79" s="662">
        <f>+CM$28*CO79+CN79</f>
        <v>3351350.562558922</v>
      </c>
      <c r="CQ79" s="661">
        <f>+CS78</f>
        <v>70116324.760056779</v>
      </c>
      <c r="CR79" s="630">
        <f>+CQ$31</f>
        <v>2017735.9643181816</v>
      </c>
      <c r="CS79" s="630">
        <f t="shared" si="40"/>
        <v>68098588.795738593</v>
      </c>
      <c r="CT79" s="662">
        <f>+CQ$28*CS79+CR79</f>
        <v>14160159.222442659</v>
      </c>
      <c r="CU79" s="661">
        <f>+CW78</f>
        <v>23666838.037500013</v>
      </c>
      <c r="CV79" s="630">
        <f>+CU$31</f>
        <v>676195.37250000006</v>
      </c>
      <c r="CW79" s="630">
        <f t="shared" si="41"/>
        <v>22990642.665000014</v>
      </c>
      <c r="CX79" s="662">
        <f>+CU$28*CW79+CV79</f>
        <v>4775577.1534069516</v>
      </c>
      <c r="CY79" s="782">
        <f t="shared" si="25"/>
        <v>24215519.063098237</v>
      </c>
      <c r="CZ79" s="756"/>
      <c r="DA79" s="778">
        <f>+CY79</f>
        <v>24215519.063098237</v>
      </c>
      <c r="DD79" s="661"/>
      <c r="DE79" s="630"/>
      <c r="DF79" s="630"/>
      <c r="DG79" s="662"/>
      <c r="DH79" s="661"/>
      <c r="DI79" s="630"/>
      <c r="DJ79" s="630"/>
      <c r="DK79" s="662"/>
      <c r="DL79" s="661"/>
      <c r="DM79" s="630"/>
      <c r="DN79" s="630"/>
      <c r="DO79" s="662"/>
      <c r="DP79" s="661"/>
      <c r="DQ79" s="630"/>
      <c r="DR79" s="630"/>
      <c r="DS79" s="662"/>
      <c r="DT79" s="661"/>
      <c r="DU79" s="630"/>
      <c r="DV79" s="630"/>
      <c r="DW79" s="662"/>
      <c r="DX79" s="661"/>
      <c r="DY79" s="630"/>
      <c r="DZ79" s="630"/>
      <c r="EA79" s="662"/>
      <c r="EB79" s="661"/>
      <c r="EC79" s="630"/>
      <c r="ED79" s="630"/>
      <c r="EE79" s="662"/>
      <c r="EF79" s="661"/>
      <c r="EG79" s="630"/>
      <c r="EH79" s="630"/>
      <c r="EI79" s="662"/>
      <c r="EJ79" s="661"/>
      <c r="EK79" s="630"/>
      <c r="EL79" s="630"/>
      <c r="EM79" s="662"/>
      <c r="EN79" s="661"/>
      <c r="EO79" s="630"/>
      <c r="EP79" s="630"/>
      <c r="EQ79" s="662"/>
      <c r="ER79" s="661">
        <f>+ET78</f>
        <v>87803.095499999792</v>
      </c>
      <c r="ES79" s="630">
        <f>+ER$31/12*(12-6)-0.1</f>
        <v>87802.995500000005</v>
      </c>
      <c r="ET79" s="630">
        <f>+ER79-ES79</f>
        <v>9.9999999787542038E-2</v>
      </c>
      <c r="EU79" s="662">
        <f>+ER$29*ET79+ES79</f>
        <v>87803.015826646224</v>
      </c>
      <c r="EW79" s="661"/>
      <c r="EX79" s="630"/>
      <c r="EY79" s="630"/>
      <c r="EZ79" s="662"/>
      <c r="FA79" s="661"/>
      <c r="FB79" s="630"/>
      <c r="FC79" s="630"/>
      <c r="FD79" s="662"/>
    </row>
    <row r="80" spans="1:160">
      <c r="A80" s="753" t="s">
        <v>23</v>
      </c>
      <c r="B80" s="774">
        <v>2026</v>
      </c>
      <c r="C80" s="775">
        <f>+C79</f>
        <v>11924935.574431814</v>
      </c>
      <c r="D80" s="775">
        <f>+D79</f>
        <v>445791.98409090913</v>
      </c>
      <c r="E80" s="775">
        <f t="shared" si="6"/>
        <v>11479143.590340905</v>
      </c>
      <c r="F80" s="757">
        <f>+C$29*E80+D80</f>
        <v>2583898.955403747</v>
      </c>
      <c r="G80" s="775">
        <f>+G79</f>
        <v>3069779.862954543</v>
      </c>
      <c r="H80" s="775">
        <f>+H79</f>
        <v>115840.74954545456</v>
      </c>
      <c r="I80" s="775">
        <f t="shared" si="7"/>
        <v>2953939.1134090885</v>
      </c>
      <c r="J80" s="757">
        <f>+G$29*I80+H80</f>
        <v>666041.88271431567</v>
      </c>
      <c r="K80" s="776">
        <f>+K79</f>
        <v>7864558.8492613565</v>
      </c>
      <c r="L80" s="775">
        <f>+L79</f>
        <v>305419.76113636367</v>
      </c>
      <c r="M80" s="775">
        <f t="shared" si="8"/>
        <v>7559139.0881249933</v>
      </c>
      <c r="N80" s="757">
        <f>+K$29*M80+L80</f>
        <v>1713386.1180554545</v>
      </c>
      <c r="O80" s="776">
        <f>+O79</f>
        <v>3320970.8560606036</v>
      </c>
      <c r="P80" s="775">
        <f>+P79</f>
        <v>119316.31818181818</v>
      </c>
      <c r="Q80" s="775">
        <f t="shared" si="11"/>
        <v>3201654.5378787853</v>
      </c>
      <c r="R80" s="757">
        <f>+O$29*Q80+P80</f>
        <v>715656.96269942168</v>
      </c>
      <c r="S80" s="661">
        <f>+S79</f>
        <v>1525927.6260606037</v>
      </c>
      <c r="T80" s="630">
        <f>+T79</f>
        <v>58315.705454545445</v>
      </c>
      <c r="U80" s="630">
        <f t="shared" si="12"/>
        <v>1467611.9206060581</v>
      </c>
      <c r="V80" s="662">
        <f>+S$29*U80+T80</f>
        <v>331673.31736472511</v>
      </c>
      <c r="W80" s="661">
        <f>+W79</f>
        <v>19296672.246212125</v>
      </c>
      <c r="X80" s="630">
        <f>+X79</f>
        <v>693293.61363636365</v>
      </c>
      <c r="Y80" s="630">
        <f t="shared" si="13"/>
        <v>18603378.632575762</v>
      </c>
      <c r="Z80" s="662">
        <f>+W$29*Y80+X80</f>
        <v>4158361.650397568</v>
      </c>
      <c r="AA80" s="661">
        <f>+AA79</f>
        <v>12585762.831439391</v>
      </c>
      <c r="AB80" s="630">
        <f>+AB79</f>
        <v>450833.29545454547</v>
      </c>
      <c r="AC80" s="630">
        <f t="shared" si="14"/>
        <v>12134929.535984846</v>
      </c>
      <c r="AD80" s="662">
        <f>+AA$29*AC80+AB80</f>
        <v>2711087.0533316801</v>
      </c>
      <c r="AE80" s="661">
        <f>+AE79</f>
        <v>126441.87500000015</v>
      </c>
      <c r="AF80" s="630">
        <f>+AF79</f>
        <v>4597.886363636364</v>
      </c>
      <c r="AG80" s="630">
        <f t="shared" si="15"/>
        <v>121843.98863636378</v>
      </c>
      <c r="AH80" s="662">
        <f>+AE$29*AG80+AF80</f>
        <v>27292.565584757147</v>
      </c>
      <c r="AI80" s="661">
        <f>+AI79</f>
        <v>8521617.6174242441</v>
      </c>
      <c r="AJ80" s="630">
        <f>+AJ79</f>
        <v>295547.43181818182</v>
      </c>
      <c r="AK80" s="630">
        <f t="shared" si="19"/>
        <v>8226070.1856060624</v>
      </c>
      <c r="AL80" s="662">
        <f>+AI$29*AK80+AJ80</f>
        <v>1827736.472919869</v>
      </c>
      <c r="AM80" s="661">
        <f>+AM79</f>
        <v>3159707.0969318179</v>
      </c>
      <c r="AN80" s="630">
        <f>+AN79</f>
        <v>110866.91568181818</v>
      </c>
      <c r="AO80" s="630">
        <f t="shared" si="16"/>
        <v>3048840.1812499999</v>
      </c>
      <c r="AP80" s="662">
        <f>+AM$29*AO80+AN80</f>
        <v>678744.33568678284</v>
      </c>
      <c r="AQ80" s="661">
        <f>+AQ79</f>
        <v>26016801.821590912</v>
      </c>
      <c r="AR80" s="630">
        <f>+AR79</f>
        <v>904932.23727272719</v>
      </c>
      <c r="AS80" s="630">
        <f t="shared" si="17"/>
        <v>25111869.584318183</v>
      </c>
      <c r="AT80" s="662">
        <f>+AQ$29*AS80+AR80</f>
        <v>5582272.7547402838</v>
      </c>
      <c r="AU80" s="775"/>
      <c r="AV80" s="775"/>
      <c r="AW80" s="775"/>
      <c r="AX80" s="757"/>
      <c r="AY80" s="775"/>
      <c r="AZ80" s="775"/>
      <c r="BA80" s="775"/>
      <c r="BB80" s="757"/>
      <c r="BC80" s="775"/>
      <c r="BD80" s="775"/>
      <c r="BE80" s="775"/>
      <c r="BF80" s="757"/>
      <c r="BG80" s="775"/>
      <c r="BH80" s="775"/>
      <c r="BI80" s="775"/>
      <c r="BJ80" s="757"/>
      <c r="BK80" s="775"/>
      <c r="BL80" s="775"/>
      <c r="BM80" s="775"/>
      <c r="BN80" s="757"/>
      <c r="BO80" s="775"/>
      <c r="BP80" s="775"/>
      <c r="BQ80" s="775"/>
      <c r="BR80" s="757"/>
      <c r="BS80" s="661">
        <f>+BS79</f>
        <v>241015.7045454547</v>
      </c>
      <c r="BT80" s="630">
        <f>+BT79</f>
        <v>8310.886363636364</v>
      </c>
      <c r="BU80" s="630">
        <f t="shared" si="18"/>
        <v>232704.81818181835</v>
      </c>
      <c r="BV80" s="662">
        <f>+BS$29*BU80+BT80</f>
        <v>51654.519980284604</v>
      </c>
      <c r="BW80" s="661">
        <f>+BW79</f>
        <v>16872605.897727281</v>
      </c>
      <c r="BX80" s="630">
        <f>+BX79</f>
        <v>576841.22727272729</v>
      </c>
      <c r="BY80" s="630">
        <f t="shared" si="20"/>
        <v>16295764.670454554</v>
      </c>
      <c r="BZ80" s="662">
        <f>+BW$29*BY80+BX80</f>
        <v>3482482.5253172563</v>
      </c>
      <c r="CA80" s="661">
        <f>+CA79</f>
        <v>1592192.1600000011</v>
      </c>
      <c r="CB80" s="630">
        <f>+CB79</f>
        <v>54433.919999999998</v>
      </c>
      <c r="CC80" s="630">
        <f t="shared" si="21"/>
        <v>1537758.2400000012</v>
      </c>
      <c r="CD80" s="662">
        <f>+CA$29*CC80+CB80</f>
        <v>340856.99566431605</v>
      </c>
      <c r="CE80" s="661">
        <f>+CE79</f>
        <v>138207.10090909101</v>
      </c>
      <c r="CF80" s="630">
        <f>+CF79</f>
        <v>4725.0290909090909</v>
      </c>
      <c r="CG80" s="630">
        <f t="shared" si="22"/>
        <v>133482.07181818192</v>
      </c>
      <c r="CH80" s="662">
        <f>+CE$29*CG80+CF80</f>
        <v>29587.419394997964</v>
      </c>
      <c r="CI80" s="661">
        <f>+CI79</f>
        <v>373972.49999999977</v>
      </c>
      <c r="CJ80" s="630">
        <f>+CJ79</f>
        <v>12362.727272727272</v>
      </c>
      <c r="CK80" s="630">
        <f t="shared" si="24"/>
        <v>361609.77272727247</v>
      </c>
      <c r="CL80" s="662">
        <f>+CI$29*CK80+CJ80</f>
        <v>76840.112081669213</v>
      </c>
      <c r="CM80" s="661">
        <f>+CM79</f>
        <v>16566438.973579548</v>
      </c>
      <c r="CN80" s="630">
        <f>+CN79</f>
        <v>483691.64886363636</v>
      </c>
      <c r="CO80" s="630">
        <f t="shared" si="35"/>
        <v>16082747.324715912</v>
      </c>
      <c r="CP80" s="662">
        <f>+CM$29*CO80+CN80</f>
        <v>3351350.562558922</v>
      </c>
      <c r="CQ80" s="661">
        <f>+CQ79</f>
        <v>70116324.760056779</v>
      </c>
      <c r="CR80" s="630">
        <f>+CR79</f>
        <v>2017735.9643181816</v>
      </c>
      <c r="CS80" s="630">
        <f t="shared" si="40"/>
        <v>68098588.795738593</v>
      </c>
      <c r="CT80" s="662">
        <f>+CQ$29*CS80+CR80</f>
        <v>14160159.222442659</v>
      </c>
      <c r="CU80" s="661">
        <f>+CU79</f>
        <v>23666838.037500013</v>
      </c>
      <c r="CV80" s="630">
        <f>+CV79</f>
        <v>676195.37250000006</v>
      </c>
      <c r="CW80" s="630">
        <f t="shared" si="41"/>
        <v>22990642.665000014</v>
      </c>
      <c r="CX80" s="662">
        <f>+CU$29*CW80+CV80</f>
        <v>4775577.1534069516</v>
      </c>
      <c r="CY80" s="782">
        <f t="shared" si="25"/>
        <v>24977573.64133713</v>
      </c>
      <c r="CZ80" s="779">
        <f>+CY80</f>
        <v>24977573.64133713</v>
      </c>
      <c r="DA80" s="752"/>
      <c r="DD80" s="661"/>
      <c r="DE80" s="630"/>
      <c r="DF80" s="630"/>
      <c r="DG80" s="662"/>
      <c r="DH80" s="661"/>
      <c r="DI80" s="630"/>
      <c r="DJ80" s="630"/>
      <c r="DK80" s="662"/>
      <c r="DL80" s="661"/>
      <c r="DM80" s="630"/>
      <c r="DN80" s="630"/>
      <c r="DO80" s="662"/>
      <c r="DP80" s="661"/>
      <c r="DQ80" s="630"/>
      <c r="DR80" s="630"/>
      <c r="DS80" s="662"/>
      <c r="DT80" s="661"/>
      <c r="DU80" s="630"/>
      <c r="DV80" s="630"/>
      <c r="DW80" s="662"/>
      <c r="DX80" s="661"/>
      <c r="DY80" s="630"/>
      <c r="DZ80" s="630"/>
      <c r="EA80" s="662"/>
      <c r="EB80" s="661"/>
      <c r="EC80" s="630"/>
      <c r="ED80" s="630"/>
      <c r="EE80" s="662"/>
      <c r="EF80" s="661"/>
      <c r="EG80" s="630"/>
      <c r="EH80" s="630"/>
      <c r="EI80" s="662"/>
      <c r="EJ80" s="661"/>
      <c r="EK80" s="630"/>
      <c r="EL80" s="630"/>
      <c r="EM80" s="662"/>
      <c r="EN80" s="661"/>
      <c r="EO80" s="630"/>
      <c r="EP80" s="630"/>
      <c r="EQ80" s="662"/>
      <c r="ER80" s="661">
        <f>+ER79</f>
        <v>87803.095499999792</v>
      </c>
      <c r="ES80" s="630">
        <f>+ES79</f>
        <v>87802.995500000005</v>
      </c>
      <c r="ET80" s="630">
        <f>+ER80-ES80</f>
        <v>9.9999999787542038E-2</v>
      </c>
      <c r="EU80" s="662">
        <f>+ER$29*ET80+ES80</f>
        <v>87803.015826646224</v>
      </c>
      <c r="EW80" s="661"/>
      <c r="EX80" s="630"/>
      <c r="EY80" s="630"/>
      <c r="EZ80" s="662"/>
      <c r="FA80" s="661"/>
      <c r="FB80" s="630"/>
      <c r="FC80" s="630"/>
      <c r="FD80" s="662"/>
    </row>
    <row r="81" spans="1:160">
      <c r="A81" s="753" t="s">
        <v>24</v>
      </c>
      <c r="B81" s="774">
        <v>2027</v>
      </c>
      <c r="C81" s="775">
        <f>+E80</f>
        <v>11479143.590340905</v>
      </c>
      <c r="D81" s="775">
        <f>+C$31</f>
        <v>445791.98409090913</v>
      </c>
      <c r="E81" s="775">
        <f t="shared" si="6"/>
        <v>11033351.606249996</v>
      </c>
      <c r="F81" s="757">
        <f>+C$28*E81+D81</f>
        <v>2413110.6543887956</v>
      </c>
      <c r="G81" s="775">
        <f>+I80</f>
        <v>2953939.1134090885</v>
      </c>
      <c r="H81" s="775">
        <f>+G$31</f>
        <v>115840.74954545456</v>
      </c>
      <c r="I81" s="775">
        <f t="shared" si="7"/>
        <v>2838098.3638636339</v>
      </c>
      <c r="J81" s="757">
        <f>+G$28*I81+H81</f>
        <v>621892.22860898694</v>
      </c>
      <c r="K81" s="776">
        <f>+M80</f>
        <v>7559139.0881249933</v>
      </c>
      <c r="L81" s="775">
        <f>+K$31</f>
        <v>305419.76113636367</v>
      </c>
      <c r="M81" s="775">
        <f t="shared" si="8"/>
        <v>7253719.32698863</v>
      </c>
      <c r="N81" s="757">
        <f>+K$28*M81+L81</f>
        <v>1598805.3043834127</v>
      </c>
      <c r="O81" s="776">
        <f>+Q80</f>
        <v>3201654.5378787853</v>
      </c>
      <c r="P81" s="775">
        <f>+O$31</f>
        <v>119316.31818181818</v>
      </c>
      <c r="Q81" s="775">
        <f t="shared" si="11"/>
        <v>3082338.2196969669</v>
      </c>
      <c r="R81" s="757">
        <f>+O$28*Q81+P81</f>
        <v>668917.35911552561</v>
      </c>
      <c r="S81" s="661">
        <f>+U80</f>
        <v>1467611.9206060581</v>
      </c>
      <c r="T81" s="630">
        <f>+S$31</f>
        <v>58315.705454545445</v>
      </c>
      <c r="U81" s="630">
        <f t="shared" si="12"/>
        <v>1409296.2151515125</v>
      </c>
      <c r="V81" s="662">
        <f>+S$28*U81+T81</f>
        <v>309602.42729500384</v>
      </c>
      <c r="W81" s="661">
        <f>+Y80</f>
        <v>18603378.632575762</v>
      </c>
      <c r="X81" s="630">
        <f>+W$31</f>
        <v>693293.61363636365</v>
      </c>
      <c r="Y81" s="630">
        <f t="shared" si="13"/>
        <v>17910085.018939398</v>
      </c>
      <c r="Z81" s="662">
        <f>+W$28*Y81+X81</f>
        <v>3886778.7758805077</v>
      </c>
      <c r="AA81" s="661">
        <f>+AC80</f>
        <v>12134929.535984846</v>
      </c>
      <c r="AB81" s="630">
        <f>+AA$31</f>
        <v>450833.29545454547</v>
      </c>
      <c r="AC81" s="630">
        <f t="shared" si="14"/>
        <v>11684096.240530301</v>
      </c>
      <c r="AD81" s="662">
        <f>+AA$28*AC81+AB81</f>
        <v>2534183.985242377</v>
      </c>
      <c r="AE81" s="661">
        <f>+AG80</f>
        <v>121843.98863636378</v>
      </c>
      <c r="AF81" s="630">
        <f>+AE$31</f>
        <v>4597.886363636364</v>
      </c>
      <c r="AG81" s="630">
        <f t="shared" si="15"/>
        <v>117246.10227272741</v>
      </c>
      <c r="AH81" s="662">
        <f>+AE$28*AG81+AF81</f>
        <v>25503.632346582403</v>
      </c>
      <c r="AI81" s="661">
        <f>+AK80</f>
        <v>8226070.1856060624</v>
      </c>
      <c r="AJ81" s="630">
        <f>+AI$31</f>
        <v>295547.43181818182</v>
      </c>
      <c r="AK81" s="630">
        <f t="shared" si="19"/>
        <v>7930522.7537878808</v>
      </c>
      <c r="AL81" s="662">
        <f>+AI$28*AK81+AJ81</f>
        <v>1709611.4474987129</v>
      </c>
      <c r="AM81" s="661">
        <f>+AO80</f>
        <v>3048840.1812499999</v>
      </c>
      <c r="AN81" s="630">
        <f>+AM$31</f>
        <v>110866.91568181818</v>
      </c>
      <c r="AO81" s="630">
        <f t="shared" si="16"/>
        <v>2937973.2655681819</v>
      </c>
      <c r="AP81" s="662">
        <f>+AM$28*AO81+AN81</f>
        <v>634726.7421840583</v>
      </c>
      <c r="AQ81" s="661">
        <f>+AS80</f>
        <v>25111869.584318183</v>
      </c>
      <c r="AR81" s="630">
        <f>+AQ$31</f>
        <v>904932.23727272719</v>
      </c>
      <c r="AS81" s="630">
        <f t="shared" si="17"/>
        <v>24206937.347045455</v>
      </c>
      <c r="AT81" s="662">
        <f>+AQ$28*AS81+AR81</f>
        <v>5221187.305822989</v>
      </c>
      <c r="AU81" s="775"/>
      <c r="AV81" s="775"/>
      <c r="AW81" s="775"/>
      <c r="AX81" s="757"/>
      <c r="AY81" s="775"/>
      <c r="AZ81" s="775"/>
      <c r="BA81" s="775"/>
      <c r="BB81" s="757"/>
      <c r="BC81" s="775"/>
      <c r="BD81" s="775"/>
      <c r="BE81" s="775"/>
      <c r="BF81" s="757"/>
      <c r="BG81" s="775"/>
      <c r="BH81" s="775"/>
      <c r="BI81" s="775"/>
      <c r="BJ81" s="757"/>
      <c r="BK81" s="775"/>
      <c r="BL81" s="775"/>
      <c r="BM81" s="775"/>
      <c r="BN81" s="757"/>
      <c r="BO81" s="775"/>
      <c r="BP81" s="775"/>
      <c r="BQ81" s="775"/>
      <c r="BR81" s="757"/>
      <c r="BS81" s="661">
        <f>+BU80</f>
        <v>232704.81818181835</v>
      </c>
      <c r="BT81" s="630">
        <f>+BS$31</f>
        <v>8310.886363636364</v>
      </c>
      <c r="BU81" s="630">
        <f t="shared" si="18"/>
        <v>224393.931818182</v>
      </c>
      <c r="BV81" s="662">
        <f>+BS$28*BU81+BT81</f>
        <v>48321.790332054486</v>
      </c>
      <c r="BW81" s="661">
        <f>+BY80</f>
        <v>16295764.670454554</v>
      </c>
      <c r="BX81" s="630">
        <f>+BW$31</f>
        <v>576841.22727272729</v>
      </c>
      <c r="BY81" s="630">
        <f t="shared" si="20"/>
        <v>15718923.443181828</v>
      </c>
      <c r="BZ81" s="662">
        <f>+BW$28*BY81+BX81</f>
        <v>3379627.9660944417</v>
      </c>
      <c r="CA81" s="661">
        <f>+CC80</f>
        <v>1537758.2400000012</v>
      </c>
      <c r="CB81" s="630">
        <f>+CA$31</f>
        <v>54433.919999999998</v>
      </c>
      <c r="CC81" s="630">
        <f t="shared" si="21"/>
        <v>1483324.3200000012</v>
      </c>
      <c r="CD81" s="662">
        <f>+CA$28*CC81+CB81</f>
        <v>318920.33654725115</v>
      </c>
      <c r="CE81" s="661">
        <f>+CG80</f>
        <v>133482.07181818192</v>
      </c>
      <c r="CF81" s="630">
        <f>+CE$31</f>
        <v>4725.0290909090909</v>
      </c>
      <c r="CG81" s="630">
        <f t="shared" si="22"/>
        <v>128757.04272727284</v>
      </c>
      <c r="CH81" s="662">
        <f>+CE$28*CG81+CF81</f>
        <v>27683.250955806223</v>
      </c>
      <c r="CI81" s="661">
        <f>+CK80</f>
        <v>361609.77272727247</v>
      </c>
      <c r="CJ81" s="630">
        <f>+CI$31</f>
        <v>12362.727272727272</v>
      </c>
      <c r="CK81" s="630">
        <f t="shared" si="24"/>
        <v>349247.04545454518</v>
      </c>
      <c r="CL81" s="662">
        <f>+CI$28*CK81+CJ81</f>
        <v>74635.75704546606</v>
      </c>
      <c r="CM81" s="661">
        <f>+CO80</f>
        <v>16082747.324715912</v>
      </c>
      <c r="CN81" s="630">
        <f>+CM$31</f>
        <v>483691.64886363636</v>
      </c>
      <c r="CO81" s="630">
        <f t="shared" si="35"/>
        <v>15599055.675852276</v>
      </c>
      <c r="CP81" s="662">
        <f>+CM$28*CO81+CN81</f>
        <v>3265105.181695906</v>
      </c>
      <c r="CQ81" s="661">
        <f>+CS80</f>
        <v>68098588.795738593</v>
      </c>
      <c r="CR81" s="630">
        <f>+CQ$31</f>
        <v>2017735.9643181816</v>
      </c>
      <c r="CS81" s="630">
        <f t="shared" si="40"/>
        <v>66080852.831420414</v>
      </c>
      <c r="CT81" s="662">
        <f>+CQ$28*CS81+CR81</f>
        <v>13800383.71849823</v>
      </c>
      <c r="CU81" s="661">
        <f>+CW80</f>
        <v>22990642.665000014</v>
      </c>
      <c r="CV81" s="630">
        <f>+CU$31</f>
        <v>676195.37250000006</v>
      </c>
      <c r="CW81" s="630">
        <f t="shared" si="41"/>
        <v>22314447.292500015</v>
      </c>
      <c r="CX81" s="662">
        <f>+CU$28*CW81+CV81</f>
        <v>4655007.101027336</v>
      </c>
      <c r="CY81" s="782">
        <f t="shared" si="25"/>
        <v>23473508.963741969</v>
      </c>
      <c r="CZ81" s="756"/>
      <c r="DA81" s="778">
        <f>+CY81</f>
        <v>23473508.963741969</v>
      </c>
      <c r="DD81" s="661"/>
      <c r="DE81" s="630"/>
      <c r="DF81" s="630"/>
      <c r="DG81" s="662"/>
      <c r="DH81" s="661"/>
      <c r="DI81" s="630"/>
      <c r="DJ81" s="630"/>
      <c r="DK81" s="662"/>
      <c r="DL81" s="661"/>
      <c r="DM81" s="630"/>
      <c r="DN81" s="630"/>
      <c r="DO81" s="662"/>
      <c r="DP81" s="661"/>
      <c r="DQ81" s="630"/>
      <c r="DR81" s="630"/>
      <c r="DS81" s="662"/>
      <c r="DT81" s="661"/>
      <c r="DU81" s="630"/>
      <c r="DV81" s="630"/>
      <c r="DW81" s="662"/>
      <c r="DX81" s="661"/>
      <c r="DY81" s="630"/>
      <c r="DZ81" s="630"/>
      <c r="EA81" s="662"/>
      <c r="EB81" s="661"/>
      <c r="EC81" s="630"/>
      <c r="ED81" s="630"/>
      <c r="EE81" s="662"/>
      <c r="EF81" s="661"/>
      <c r="EG81" s="630"/>
      <c r="EH81" s="630"/>
      <c r="EI81" s="662"/>
      <c r="EJ81" s="661"/>
      <c r="EK81" s="630"/>
      <c r="EL81" s="630"/>
      <c r="EM81" s="662"/>
      <c r="EN81" s="661"/>
      <c r="EO81" s="630"/>
      <c r="EP81" s="630"/>
      <c r="EQ81" s="662"/>
      <c r="ER81" s="661"/>
      <c r="ES81" s="630"/>
      <c r="ET81" s="630"/>
      <c r="EU81" s="662"/>
      <c r="EW81" s="661"/>
      <c r="EX81" s="630"/>
      <c r="EY81" s="630"/>
      <c r="EZ81" s="662"/>
      <c r="FA81" s="661"/>
      <c r="FB81" s="630"/>
      <c r="FC81" s="630"/>
      <c r="FD81" s="662"/>
    </row>
    <row r="82" spans="1:160">
      <c r="A82" s="753" t="s">
        <v>23</v>
      </c>
      <c r="B82" s="774">
        <v>2027</v>
      </c>
      <c r="C82" s="775">
        <f>+C81</f>
        <v>11479143.590340905</v>
      </c>
      <c r="D82" s="775">
        <f>+D81</f>
        <v>445791.98409090913</v>
      </c>
      <c r="E82" s="775">
        <f t="shared" si="6"/>
        <v>11033351.606249996</v>
      </c>
      <c r="F82" s="757">
        <f>+C$29*E82+D82</f>
        <v>2500865.674964413</v>
      </c>
      <c r="G82" s="775">
        <f>+G81</f>
        <v>2953939.1134090885</v>
      </c>
      <c r="H82" s="775">
        <f>+H81</f>
        <v>115840.74954545456</v>
      </c>
      <c r="I82" s="775">
        <f t="shared" si="7"/>
        <v>2838098.3638636339</v>
      </c>
      <c r="J82" s="757">
        <f>+G$29*I82+H82</f>
        <v>644465.36768808577</v>
      </c>
      <c r="K82" s="776">
        <f>+K81</f>
        <v>7559139.0881249933</v>
      </c>
      <c r="L82" s="775">
        <f>+L81</f>
        <v>305419.76113636367</v>
      </c>
      <c r="M82" s="775">
        <f t="shared" si="8"/>
        <v>7253719.32698863</v>
      </c>
      <c r="N82" s="757">
        <f>+K$29*M82+L82</f>
        <v>1656498.5884829659</v>
      </c>
      <c r="O82" s="776">
        <f>+O81</f>
        <v>3201654.5378787853</v>
      </c>
      <c r="P82" s="775">
        <f>+P81</f>
        <v>119316.31818181818</v>
      </c>
      <c r="Q82" s="775">
        <f t="shared" si="11"/>
        <v>3082338.2196969669</v>
      </c>
      <c r="R82" s="757">
        <f>+O$29*Q82+P82</f>
        <v>693433.08774845512</v>
      </c>
      <c r="S82" s="661">
        <f>+S81</f>
        <v>1467611.9206060581</v>
      </c>
      <c r="T82" s="630">
        <f>+T81</f>
        <v>58315.705454545445</v>
      </c>
      <c r="U82" s="630">
        <f t="shared" si="12"/>
        <v>1409296.2151515125</v>
      </c>
      <c r="V82" s="662">
        <f>+S$29*U82+T82</f>
        <v>320811.42550074443</v>
      </c>
      <c r="W82" s="661">
        <f>+W81</f>
        <v>18603378.632575762</v>
      </c>
      <c r="X82" s="630">
        <f>+X81</f>
        <v>693293.61363636365</v>
      </c>
      <c r="Y82" s="630">
        <f t="shared" si="13"/>
        <v>17910085.018939398</v>
      </c>
      <c r="Z82" s="662">
        <f>+W$29*Y82+X82</f>
        <v>4029228.6800834858</v>
      </c>
      <c r="AA82" s="661">
        <f>+AA81</f>
        <v>12134929.535984846</v>
      </c>
      <c r="AB82" s="630">
        <f>+AB81</f>
        <v>450833.29545454547</v>
      </c>
      <c r="AC82" s="630">
        <f t="shared" si="14"/>
        <v>11684096.240530301</v>
      </c>
      <c r="AD82" s="662">
        <f>+AA$29*AC82+AB82</f>
        <v>2627114.7774972357</v>
      </c>
      <c r="AE82" s="661">
        <f>+AE81</f>
        <v>121843.98863636378</v>
      </c>
      <c r="AF82" s="630">
        <f>+AF81</f>
        <v>4597.886363636364</v>
      </c>
      <c r="AG82" s="630">
        <f t="shared" si="15"/>
        <v>117246.10227272741</v>
      </c>
      <c r="AH82" s="662">
        <f>+AE$29*AG82+AF82</f>
        <v>26436.16259528089</v>
      </c>
      <c r="AI82" s="661">
        <f>+AI81</f>
        <v>8226070.1856060624</v>
      </c>
      <c r="AJ82" s="630">
        <f>+AJ81</f>
        <v>295547.43181818182</v>
      </c>
      <c r="AK82" s="630">
        <f t="shared" si="19"/>
        <v>7930522.7537878808</v>
      </c>
      <c r="AL82" s="662">
        <f>+AI$29*AK82+AJ82</f>
        <v>1772687.7648563355</v>
      </c>
      <c r="AM82" s="661">
        <f>+AM81</f>
        <v>3048840.1812499999</v>
      </c>
      <c r="AN82" s="630">
        <f>+AN81</f>
        <v>110866.91568181818</v>
      </c>
      <c r="AO82" s="630">
        <f t="shared" si="16"/>
        <v>2937973.2655681819</v>
      </c>
      <c r="AP82" s="662">
        <f>+AM$29*AO82+AN82</f>
        <v>658094.24768660229</v>
      </c>
      <c r="AQ82" s="661">
        <f>+AQ81</f>
        <v>25111869.584318183</v>
      </c>
      <c r="AR82" s="630">
        <f>+AR81</f>
        <v>904932.23727272719</v>
      </c>
      <c r="AS82" s="630">
        <f t="shared" si="17"/>
        <v>24206937.347045455</v>
      </c>
      <c r="AT82" s="662">
        <f>+AQ$29*AS82+AR82</f>
        <v>5413719.9433000116</v>
      </c>
      <c r="AU82" s="775"/>
      <c r="AV82" s="775"/>
      <c r="AW82" s="775"/>
      <c r="AX82" s="757"/>
      <c r="AY82" s="775"/>
      <c r="AZ82" s="775"/>
      <c r="BA82" s="775"/>
      <c r="BB82" s="757"/>
      <c r="BC82" s="775"/>
      <c r="BD82" s="775"/>
      <c r="BE82" s="775"/>
      <c r="BF82" s="757"/>
      <c r="BG82" s="775"/>
      <c r="BH82" s="775"/>
      <c r="BI82" s="775"/>
      <c r="BJ82" s="757"/>
      <c r="BK82" s="775"/>
      <c r="BL82" s="775"/>
      <c r="BM82" s="775"/>
      <c r="BN82" s="757"/>
      <c r="BO82" s="775"/>
      <c r="BP82" s="775"/>
      <c r="BQ82" s="775"/>
      <c r="BR82" s="757"/>
      <c r="BS82" s="661">
        <f>+BS81</f>
        <v>232704.81818181835</v>
      </c>
      <c r="BT82" s="630">
        <f>+BT81</f>
        <v>8310.886363636364</v>
      </c>
      <c r="BU82" s="630">
        <f t="shared" si="18"/>
        <v>224393.931818182</v>
      </c>
      <c r="BV82" s="662">
        <f>+BS$29*BU82+BT82</f>
        <v>50106.533065404306</v>
      </c>
      <c r="BW82" s="661">
        <f>+BW81</f>
        <v>16295764.670454554</v>
      </c>
      <c r="BX82" s="630">
        <f>+BX81</f>
        <v>576841.22727272729</v>
      </c>
      <c r="BY82" s="630">
        <f t="shared" si="20"/>
        <v>15718923.443181828</v>
      </c>
      <c r="BZ82" s="662">
        <f>+BW$29*BY82+BX82</f>
        <v>3379627.9660944417</v>
      </c>
      <c r="CA82" s="661">
        <f>+CA81</f>
        <v>1537758.2400000012</v>
      </c>
      <c r="CB82" s="630">
        <f>+CB81</f>
        <v>54433.919999999998</v>
      </c>
      <c r="CC82" s="630">
        <f t="shared" si="21"/>
        <v>1483324.3200000012</v>
      </c>
      <c r="CD82" s="662">
        <f>+CA$29*CC82+CB82</f>
        <v>330718.12572929607</v>
      </c>
      <c r="CE82" s="661">
        <f>+CE81</f>
        <v>133482.07181818192</v>
      </c>
      <c r="CF82" s="630">
        <f>+CF81</f>
        <v>4725.0290909090909</v>
      </c>
      <c r="CG82" s="630">
        <f t="shared" si="22"/>
        <v>128757.04272727284</v>
      </c>
      <c r="CH82" s="662">
        <f>+CE$29*CG82+CF82</f>
        <v>28707.334782463844</v>
      </c>
      <c r="CI82" s="661">
        <f>+CI81</f>
        <v>361609.77272727247</v>
      </c>
      <c r="CJ82" s="630">
        <f>+CJ81</f>
        <v>12362.727272727272</v>
      </c>
      <c r="CK82" s="630">
        <f t="shared" si="24"/>
        <v>349247.04545454518</v>
      </c>
      <c r="CL82" s="662">
        <f>+CI$29*CK82+CJ82</f>
        <v>74635.75704546606</v>
      </c>
      <c r="CM82" s="661">
        <f>+CM81</f>
        <v>16082747.324715912</v>
      </c>
      <c r="CN82" s="630">
        <f>+CN81</f>
        <v>483691.64886363636</v>
      </c>
      <c r="CO82" s="630">
        <f t="shared" si="35"/>
        <v>15599055.675852276</v>
      </c>
      <c r="CP82" s="662">
        <f>+CM$29*CO82+CN82</f>
        <v>3265105.181695906</v>
      </c>
      <c r="CQ82" s="661">
        <f>+CQ81</f>
        <v>68098588.795738593</v>
      </c>
      <c r="CR82" s="630">
        <f>+CR81</f>
        <v>2017735.9643181816</v>
      </c>
      <c r="CS82" s="630">
        <f t="shared" si="40"/>
        <v>66080852.831420414</v>
      </c>
      <c r="CT82" s="662">
        <f>+CQ$29*CS82+CR82</f>
        <v>13800383.71849823</v>
      </c>
      <c r="CU82" s="661">
        <f>+CU81</f>
        <v>22990642.665000014</v>
      </c>
      <c r="CV82" s="630">
        <f>+CV81</f>
        <v>676195.37250000006</v>
      </c>
      <c r="CW82" s="630">
        <f t="shared" si="41"/>
        <v>22314447.292500015</v>
      </c>
      <c r="CX82" s="662">
        <f>+CU$29*CW82+CV82</f>
        <v>4655007.101027336</v>
      </c>
      <c r="CY82" s="782">
        <f t="shared" si="25"/>
        <v>24207151.437120687</v>
      </c>
      <c r="CZ82" s="779">
        <f>+CY82</f>
        <v>24207151.437120687</v>
      </c>
      <c r="DA82" s="752"/>
      <c r="DD82" s="661"/>
      <c r="DE82" s="630"/>
      <c r="DF82" s="630"/>
      <c r="DG82" s="662"/>
      <c r="DH82" s="661"/>
      <c r="DI82" s="630"/>
      <c r="DJ82" s="630"/>
      <c r="DK82" s="662"/>
      <c r="DL82" s="661"/>
      <c r="DM82" s="630"/>
      <c r="DN82" s="630"/>
      <c r="DO82" s="662"/>
      <c r="DP82" s="661"/>
      <c r="DQ82" s="630"/>
      <c r="DR82" s="630"/>
      <c r="DS82" s="662"/>
      <c r="DT82" s="661"/>
      <c r="DU82" s="630"/>
      <c r="DV82" s="630"/>
      <c r="DW82" s="662"/>
      <c r="DX82" s="661"/>
      <c r="DY82" s="630"/>
      <c r="DZ82" s="630"/>
      <c r="EA82" s="662"/>
      <c r="EB82" s="661"/>
      <c r="EC82" s="630"/>
      <c r="ED82" s="630"/>
      <c r="EE82" s="662"/>
      <c r="EF82" s="661"/>
      <c r="EG82" s="630"/>
      <c r="EH82" s="630"/>
      <c r="EI82" s="662"/>
      <c r="EJ82" s="661"/>
      <c r="EK82" s="630"/>
      <c r="EL82" s="630"/>
      <c r="EM82" s="662"/>
      <c r="EN82" s="661"/>
      <c r="EO82" s="630"/>
      <c r="EP82" s="630"/>
      <c r="EQ82" s="662"/>
      <c r="ER82" s="661"/>
      <c r="ES82" s="630"/>
      <c r="ET82" s="630"/>
      <c r="EU82" s="662"/>
      <c r="EW82" s="661"/>
      <c r="EX82" s="630"/>
      <c r="EY82" s="630"/>
      <c r="EZ82" s="662"/>
      <c r="FA82" s="661"/>
      <c r="FB82" s="630"/>
      <c r="FC82" s="630"/>
      <c r="FD82" s="662"/>
    </row>
    <row r="83" spans="1:160">
      <c r="A83" s="753" t="s">
        <v>24</v>
      </c>
      <c r="B83" s="774">
        <v>2028</v>
      </c>
      <c r="C83" s="775">
        <f>+E82</f>
        <v>11033351.606249996</v>
      </c>
      <c r="D83" s="775">
        <f>+C$31</f>
        <v>445791.98409090913</v>
      </c>
      <c r="E83" s="775">
        <f t="shared" si="6"/>
        <v>10587559.622159086</v>
      </c>
      <c r="F83" s="757">
        <f>+C$28*E83+D83</f>
        <v>2333623.0313464566</v>
      </c>
      <c r="G83" s="775">
        <f>+I82</f>
        <v>2838098.3638636339</v>
      </c>
      <c r="H83" s="775">
        <f>+G$31</f>
        <v>115840.74954545456</v>
      </c>
      <c r="I83" s="775">
        <f t="shared" si="7"/>
        <v>2722257.6143181794</v>
      </c>
      <c r="J83" s="757">
        <f>+G$28*I83+H83</f>
        <v>601237.06619823049</v>
      </c>
      <c r="K83" s="776">
        <f>+M82</f>
        <v>7253719.32698863</v>
      </c>
      <c r="L83" s="775">
        <f>+K$31</f>
        <v>305419.76113636367</v>
      </c>
      <c r="M83" s="775">
        <f t="shared" si="8"/>
        <v>6948299.5658522667</v>
      </c>
      <c r="N83" s="757">
        <f>+K$28*M83+L83</f>
        <v>1544346.965720379</v>
      </c>
      <c r="O83" s="776">
        <f>+Q82</f>
        <v>3082338.2196969669</v>
      </c>
      <c r="P83" s="775">
        <f>+O$31</f>
        <v>119316.31818181818</v>
      </c>
      <c r="Q83" s="775">
        <f t="shared" si="11"/>
        <v>2963021.9015151486</v>
      </c>
      <c r="R83" s="757">
        <f>+O$28*Q83+P83</f>
        <v>647642.48011164018</v>
      </c>
      <c r="S83" s="661">
        <f>+U82</f>
        <v>1409296.2151515125</v>
      </c>
      <c r="T83" s="630">
        <f>+S$31</f>
        <v>58315.705454545445</v>
      </c>
      <c r="U83" s="630">
        <f t="shared" si="12"/>
        <v>1350980.509696967</v>
      </c>
      <c r="V83" s="662">
        <f>+S$28*U83+T83</f>
        <v>299204.35604643309</v>
      </c>
      <c r="W83" s="661">
        <f>+Y82</f>
        <v>17910085.018939398</v>
      </c>
      <c r="X83" s="630">
        <f>+W$31</f>
        <v>693293.61363636365</v>
      </c>
      <c r="Y83" s="630">
        <f t="shared" si="13"/>
        <v>17216791.405303035</v>
      </c>
      <c r="Z83" s="662">
        <f>+W$28*Y83+X83</f>
        <v>3763159.995406541</v>
      </c>
      <c r="AA83" s="661">
        <f>+AC82</f>
        <v>11684096.240530301</v>
      </c>
      <c r="AB83" s="630">
        <f>+AA$31</f>
        <v>450833.29545454547</v>
      </c>
      <c r="AC83" s="630">
        <f t="shared" si="14"/>
        <v>11233262.945075756</v>
      </c>
      <c r="AD83" s="662">
        <f>+AA$28*AC83+AB83</f>
        <v>2453797.4634499205</v>
      </c>
      <c r="AE83" s="661">
        <f>+AG82</f>
        <v>117246.10227272741</v>
      </c>
      <c r="AF83" s="630">
        <f>+AE$31</f>
        <v>4597.886363636364</v>
      </c>
      <c r="AG83" s="630">
        <f t="shared" si="15"/>
        <v>112648.21590909104</v>
      </c>
      <c r="AH83" s="662">
        <f>+AE$28*AG83+AF83</f>
        <v>24683.7991707806</v>
      </c>
      <c r="AI83" s="661">
        <f>+AK82</f>
        <v>7930522.7537878808</v>
      </c>
      <c r="AJ83" s="630">
        <f>+AI$31</f>
        <v>295547.43181818182</v>
      </c>
      <c r="AK83" s="630">
        <f t="shared" si="19"/>
        <v>7634975.3219696991</v>
      </c>
      <c r="AL83" s="662">
        <f>+AI$28*AK83+AJ83</f>
        <v>1656913.4096472645</v>
      </c>
      <c r="AM83" s="661">
        <f>+AO82</f>
        <v>2937973.2655681819</v>
      </c>
      <c r="AN83" s="630">
        <f>+AM$31</f>
        <v>110866.91568181818</v>
      </c>
      <c r="AO83" s="630">
        <f t="shared" si="16"/>
        <v>2827106.3498863638</v>
      </c>
      <c r="AP83" s="662">
        <f>+AM$28*AO83+AN83</f>
        <v>614958.44684435113</v>
      </c>
      <c r="AQ83" s="661">
        <f>+AS82</f>
        <v>24206937.347045455</v>
      </c>
      <c r="AR83" s="630">
        <f>+AQ$31</f>
        <v>904932.23727272719</v>
      </c>
      <c r="AS83" s="630">
        <f t="shared" si="17"/>
        <v>23302005.109772727</v>
      </c>
      <c r="AT83" s="662">
        <f>+AQ$28*AS83+AR83</f>
        <v>5059831.9761575582</v>
      </c>
      <c r="AU83" s="775"/>
      <c r="AV83" s="775"/>
      <c r="AW83" s="775"/>
      <c r="AX83" s="757"/>
      <c r="AY83" s="775"/>
      <c r="AZ83" s="775"/>
      <c r="BA83" s="775"/>
      <c r="BB83" s="757"/>
      <c r="BC83" s="775"/>
      <c r="BD83" s="775"/>
      <c r="BE83" s="775"/>
      <c r="BF83" s="757"/>
      <c r="BG83" s="775"/>
      <c r="BH83" s="775"/>
      <c r="BI83" s="775"/>
      <c r="BJ83" s="757"/>
      <c r="BK83" s="775"/>
      <c r="BL83" s="775"/>
      <c r="BM83" s="775"/>
      <c r="BN83" s="757"/>
      <c r="BO83" s="775"/>
      <c r="BP83" s="775"/>
      <c r="BQ83" s="775"/>
      <c r="BR83" s="757"/>
      <c r="BS83" s="661">
        <f>+BU82</f>
        <v>224393.931818182</v>
      </c>
      <c r="BT83" s="630">
        <f>+BS$31</f>
        <v>8310.886363636364</v>
      </c>
      <c r="BU83" s="630">
        <f t="shared" si="18"/>
        <v>216083.04545454565</v>
      </c>
      <c r="BV83" s="662">
        <f>+BS$28*BU83+BT83</f>
        <v>46839.904999890859</v>
      </c>
      <c r="BW83" s="661">
        <f>+BY82</f>
        <v>15718923.443181828</v>
      </c>
      <c r="BX83" s="630">
        <f>+BW$31</f>
        <v>576841.22727272729</v>
      </c>
      <c r="BY83" s="630">
        <f t="shared" si="20"/>
        <v>15142082.215909101</v>
      </c>
      <c r="BZ83" s="662">
        <f>+BW$28*BY83+BX83</f>
        <v>3276773.4068716262</v>
      </c>
      <c r="CA83" s="661">
        <f>+CC82</f>
        <v>1483324.3200000012</v>
      </c>
      <c r="CB83" s="630">
        <f>+CA$31</f>
        <v>54433.919999999998</v>
      </c>
      <c r="CC83" s="630">
        <f t="shared" si="21"/>
        <v>1428890.4000000013</v>
      </c>
      <c r="CD83" s="662">
        <f>+CA$28*CC83+CB83</f>
        <v>309214.4130042328</v>
      </c>
      <c r="CE83" s="661">
        <f>+CG82</f>
        <v>128757.04272727284</v>
      </c>
      <c r="CF83" s="630">
        <f>+CE$31</f>
        <v>4725.0290909090909</v>
      </c>
      <c r="CG83" s="630">
        <f t="shared" si="22"/>
        <v>124032.01363636376</v>
      </c>
      <c r="CH83" s="662">
        <f>+CE$28*CG83+CF83</f>
        <v>26840.747401131102</v>
      </c>
      <c r="CI83" s="661">
        <f>+CK82</f>
        <v>349247.04545454518</v>
      </c>
      <c r="CJ83" s="630">
        <f>+CI$31</f>
        <v>12362.727272727272</v>
      </c>
      <c r="CK83" s="630">
        <f t="shared" si="24"/>
        <v>336884.31818181789</v>
      </c>
      <c r="CL83" s="662">
        <f>+CI$28*CK83+CJ83</f>
        <v>72431.402009262907</v>
      </c>
      <c r="CM83" s="661">
        <f>+CO82</f>
        <v>15599055.675852276</v>
      </c>
      <c r="CN83" s="630">
        <f>+CM$31</f>
        <v>483691.64886363636</v>
      </c>
      <c r="CO83" s="630">
        <f t="shared" si="35"/>
        <v>15115364.02698864</v>
      </c>
      <c r="CP83" s="662">
        <f>+CM$28*CO83+CN83</f>
        <v>3178859.80083289</v>
      </c>
      <c r="CQ83" s="661">
        <f>+CS82</f>
        <v>66080852.831420414</v>
      </c>
      <c r="CR83" s="630">
        <f>+CQ$31</f>
        <v>2017735.9643181816</v>
      </c>
      <c r="CS83" s="630">
        <f t="shared" si="40"/>
        <v>64063116.867102236</v>
      </c>
      <c r="CT83" s="662">
        <f>+CQ$28*CS83+CR83</f>
        <v>13440608.214553801</v>
      </c>
      <c r="CU83" s="661">
        <f>+CW82</f>
        <v>22314447.292500015</v>
      </c>
      <c r="CV83" s="630">
        <f>+CU$31</f>
        <v>676195.37250000006</v>
      </c>
      <c r="CW83" s="630">
        <f t="shared" si="41"/>
        <v>21638251.920000017</v>
      </c>
      <c r="CX83" s="662">
        <f>+CU$28*CW83+CV83</f>
        <v>4534437.0486477204</v>
      </c>
      <c r="CY83" s="782">
        <f t="shared" si="25"/>
        <v>22731498.864385698</v>
      </c>
      <c r="CZ83" s="756"/>
      <c r="DA83" s="778">
        <f>+CY83</f>
        <v>22731498.864385698</v>
      </c>
      <c r="DD83" s="661"/>
      <c r="DE83" s="630"/>
      <c r="DF83" s="630"/>
      <c r="DG83" s="662"/>
      <c r="DH83" s="661"/>
      <c r="DI83" s="630"/>
      <c r="DJ83" s="630"/>
      <c r="DK83" s="662"/>
      <c r="DL83" s="661"/>
      <c r="DM83" s="630"/>
      <c r="DN83" s="630"/>
      <c r="DO83" s="662"/>
      <c r="DP83" s="661"/>
      <c r="DQ83" s="630"/>
      <c r="DR83" s="630"/>
      <c r="DS83" s="662"/>
      <c r="DT83" s="661"/>
      <c r="DU83" s="630"/>
      <c r="DV83" s="630"/>
      <c r="DW83" s="662"/>
      <c r="DX83" s="661"/>
      <c r="DY83" s="630"/>
      <c r="DZ83" s="630"/>
      <c r="EA83" s="662"/>
      <c r="EB83" s="661"/>
      <c r="EC83" s="630"/>
      <c r="ED83" s="630"/>
      <c r="EE83" s="662"/>
      <c r="EF83" s="661"/>
      <c r="EG83" s="630"/>
      <c r="EH83" s="630"/>
      <c r="EI83" s="662"/>
      <c r="EJ83" s="661"/>
      <c r="EK83" s="630"/>
      <c r="EL83" s="630"/>
      <c r="EM83" s="662"/>
      <c r="EN83" s="661"/>
      <c r="EO83" s="630"/>
      <c r="EP83" s="630"/>
      <c r="EQ83" s="662"/>
      <c r="ER83" s="661"/>
      <c r="ES83" s="630"/>
      <c r="ET83" s="630"/>
      <c r="EU83" s="662"/>
      <c r="EW83" s="661"/>
      <c r="EX83" s="630"/>
      <c r="EY83" s="630"/>
      <c r="EZ83" s="662"/>
      <c r="FA83" s="661"/>
      <c r="FB83" s="630"/>
      <c r="FC83" s="630"/>
      <c r="FD83" s="662"/>
    </row>
    <row r="84" spans="1:160">
      <c r="A84" s="753" t="s">
        <v>23</v>
      </c>
      <c r="B84" s="774">
        <v>2028</v>
      </c>
      <c r="C84" s="775">
        <f>+C83</f>
        <v>11033351.606249996</v>
      </c>
      <c r="D84" s="775">
        <f>+D83</f>
        <v>445791.98409090913</v>
      </c>
      <c r="E84" s="775">
        <f t="shared" si="6"/>
        <v>10587559.622159086</v>
      </c>
      <c r="F84" s="757">
        <f>+C$29*E84+D84</f>
        <v>2417832.3945250795</v>
      </c>
      <c r="G84" s="775">
        <f>+G83</f>
        <v>2838098.3638636339</v>
      </c>
      <c r="H84" s="775">
        <f>+H83</f>
        <v>115840.74954545456</v>
      </c>
      <c r="I84" s="775">
        <f t="shared" si="7"/>
        <v>2722257.6143181794</v>
      </c>
      <c r="J84" s="757">
        <f>+G$29*I84+H84</f>
        <v>622888.85266185598</v>
      </c>
      <c r="K84" s="776">
        <f>+K83</f>
        <v>7253719.32698863</v>
      </c>
      <c r="L84" s="775">
        <f>+L83</f>
        <v>305419.76113636367</v>
      </c>
      <c r="M84" s="775">
        <f t="shared" si="8"/>
        <v>6948299.5658522667</v>
      </c>
      <c r="N84" s="757">
        <f>+K$29*M84+L84</f>
        <v>1599611.0589104774</v>
      </c>
      <c r="O84" s="776">
        <f>+O83</f>
        <v>3082338.2196969669</v>
      </c>
      <c r="P84" s="775">
        <f>+P83</f>
        <v>119316.31818181818</v>
      </c>
      <c r="Q84" s="775">
        <f t="shared" si="11"/>
        <v>2963021.9015151486</v>
      </c>
      <c r="R84" s="757">
        <f>+O$29*Q84+P84</f>
        <v>671209.21279748832</v>
      </c>
      <c r="S84" s="661">
        <f>+S83</f>
        <v>1409296.2151515125</v>
      </c>
      <c r="T84" s="630">
        <f>+T83</f>
        <v>58315.705454545445</v>
      </c>
      <c r="U84" s="630">
        <f t="shared" si="12"/>
        <v>1350980.509696967</v>
      </c>
      <c r="V84" s="662">
        <f>+S$29*U84+T84</f>
        <v>309949.53363676375</v>
      </c>
      <c r="W84" s="661">
        <f>+W83</f>
        <v>17910085.018939398</v>
      </c>
      <c r="X84" s="630">
        <f>+X83</f>
        <v>693293.61363636365</v>
      </c>
      <c r="Y84" s="630">
        <f t="shared" si="13"/>
        <v>17216791.405303035</v>
      </c>
      <c r="Z84" s="662">
        <f>+W$29*Y84+X84</f>
        <v>3900095.709769404</v>
      </c>
      <c r="AA84" s="661">
        <f>+AA83</f>
        <v>11684096.240530301</v>
      </c>
      <c r="AB84" s="630">
        <f>+AB83</f>
        <v>450833.29545454547</v>
      </c>
      <c r="AC84" s="630">
        <f t="shared" si="14"/>
        <v>11233262.945075756</v>
      </c>
      <c r="AD84" s="662">
        <f>+AA$29*AC84+AB84</f>
        <v>2543142.5016627912</v>
      </c>
      <c r="AE84" s="661">
        <f>+AE83</f>
        <v>117246.10227272741</v>
      </c>
      <c r="AF84" s="630">
        <f>+AF83</f>
        <v>4597.886363636364</v>
      </c>
      <c r="AG84" s="630">
        <f t="shared" si="15"/>
        <v>112648.21590909104</v>
      </c>
      <c r="AH84" s="662">
        <f>+AE$29*AG84+AF84</f>
        <v>25579.759605804637</v>
      </c>
      <c r="AI84" s="661">
        <f>+AI83</f>
        <v>7930522.7537878808</v>
      </c>
      <c r="AJ84" s="630">
        <f>+AJ83</f>
        <v>295547.43181818182</v>
      </c>
      <c r="AK84" s="630">
        <f t="shared" si="19"/>
        <v>7634975.3219696991</v>
      </c>
      <c r="AL84" s="662">
        <f>+AI$29*AK84+AJ84</f>
        <v>1717639.0567928019</v>
      </c>
      <c r="AM84" s="661">
        <f>+AM83</f>
        <v>2937973.2655681819</v>
      </c>
      <c r="AN84" s="630">
        <f>+AN83</f>
        <v>110866.91568181818</v>
      </c>
      <c r="AO84" s="630">
        <f t="shared" si="16"/>
        <v>2827106.3498863638</v>
      </c>
      <c r="AP84" s="662">
        <f>+AM$29*AO84+AN84</f>
        <v>637444.15968642186</v>
      </c>
      <c r="AQ84" s="661">
        <f>+AQ83</f>
        <v>24206937.347045455</v>
      </c>
      <c r="AR84" s="630">
        <f>+AR83</f>
        <v>904932.23727272719</v>
      </c>
      <c r="AS84" s="630">
        <f t="shared" si="17"/>
        <v>23302005.109772727</v>
      </c>
      <c r="AT84" s="662">
        <f>+AQ$29*AS84+AR84</f>
        <v>5245167.1318597393</v>
      </c>
      <c r="AU84" s="775"/>
      <c r="AV84" s="775"/>
      <c r="AW84" s="775"/>
      <c r="AX84" s="757"/>
      <c r="AY84" s="775"/>
      <c r="AZ84" s="775"/>
      <c r="BA84" s="775"/>
      <c r="BB84" s="757"/>
      <c r="BC84" s="775"/>
      <c r="BD84" s="775"/>
      <c r="BE84" s="775"/>
      <c r="BF84" s="757"/>
      <c r="BG84" s="775"/>
      <c r="BH84" s="775"/>
      <c r="BI84" s="775"/>
      <c r="BJ84" s="757"/>
      <c r="BK84" s="775"/>
      <c r="BL84" s="775"/>
      <c r="BM84" s="775"/>
      <c r="BN84" s="757"/>
      <c r="BO84" s="775"/>
      <c r="BP84" s="775"/>
      <c r="BQ84" s="775"/>
      <c r="BR84" s="757"/>
      <c r="BS84" s="661">
        <f>+BS83</f>
        <v>224393.931818182</v>
      </c>
      <c r="BT84" s="630">
        <f>+BT83</f>
        <v>8310.886363636364</v>
      </c>
      <c r="BU84" s="630">
        <f t="shared" si="18"/>
        <v>216083.04545454565</v>
      </c>
      <c r="BV84" s="662">
        <f>+BS$29*BU84+BT84</f>
        <v>48558.546150524024</v>
      </c>
      <c r="BW84" s="661">
        <f>+BW83</f>
        <v>15718923.443181828</v>
      </c>
      <c r="BX84" s="630">
        <f>+BX83</f>
        <v>576841.22727272729</v>
      </c>
      <c r="BY84" s="630">
        <f t="shared" si="20"/>
        <v>15142082.215909101</v>
      </c>
      <c r="BZ84" s="662">
        <f>+BW$29*BY84+BX84</f>
        <v>3276773.4068716262</v>
      </c>
      <c r="CA84" s="661">
        <f>+CA83</f>
        <v>1483324.3200000012</v>
      </c>
      <c r="CB84" s="630">
        <f>+CB83</f>
        <v>54433.919999999998</v>
      </c>
      <c r="CC84" s="630">
        <f t="shared" si="21"/>
        <v>1428890.4000000013</v>
      </c>
      <c r="CD84" s="662">
        <f>+CA$29*CC84+CB84</f>
        <v>320579.25579427602</v>
      </c>
      <c r="CE84" s="661">
        <f>+CE83</f>
        <v>128757.04272727284</v>
      </c>
      <c r="CF84" s="630">
        <f>+CF83</f>
        <v>4725.0290909090909</v>
      </c>
      <c r="CG84" s="630">
        <f t="shared" si="22"/>
        <v>124032.01363636376</v>
      </c>
      <c r="CH84" s="662">
        <f>+CE$29*CG84+CF84</f>
        <v>27827.250169929728</v>
      </c>
      <c r="CI84" s="661">
        <f>+CI83</f>
        <v>349247.04545454518</v>
      </c>
      <c r="CJ84" s="630">
        <f>+CJ83</f>
        <v>12362.727272727272</v>
      </c>
      <c r="CK84" s="630">
        <f t="shared" si="24"/>
        <v>336884.31818181789</v>
      </c>
      <c r="CL84" s="662">
        <f>+CI$29*CK84+CJ84</f>
        <v>72431.402009262907</v>
      </c>
      <c r="CM84" s="661">
        <f>+CM83</f>
        <v>15599055.675852276</v>
      </c>
      <c r="CN84" s="630">
        <f>+CN83</f>
        <v>483691.64886363636</v>
      </c>
      <c r="CO84" s="630">
        <f t="shared" si="35"/>
        <v>15115364.02698864</v>
      </c>
      <c r="CP84" s="662">
        <f>+CM$29*CO84+CN84</f>
        <v>3178859.80083289</v>
      </c>
      <c r="CQ84" s="661">
        <f>+CQ83</f>
        <v>66080852.831420414</v>
      </c>
      <c r="CR84" s="630">
        <f>+CR83</f>
        <v>2017735.9643181816</v>
      </c>
      <c r="CS84" s="630">
        <f t="shared" si="40"/>
        <v>64063116.867102236</v>
      </c>
      <c r="CT84" s="662">
        <f>+CQ$29*CS84+CR84</f>
        <v>13440608.214553801</v>
      </c>
      <c r="CU84" s="661">
        <f>+CU83</f>
        <v>22314447.292500015</v>
      </c>
      <c r="CV84" s="630">
        <f>+CV83</f>
        <v>676195.37250000006</v>
      </c>
      <c r="CW84" s="630">
        <f t="shared" si="41"/>
        <v>21638251.920000017</v>
      </c>
      <c r="CX84" s="662">
        <f>+CU$29*CW84+CV84</f>
        <v>4534437.0486477204</v>
      </c>
      <c r="CY84" s="782">
        <f t="shared" si="25"/>
        <v>23436729.232904248</v>
      </c>
      <c r="CZ84" s="779">
        <f>+CY84</f>
        <v>23436729.232904248</v>
      </c>
      <c r="DA84" s="752"/>
      <c r="DD84" s="661"/>
      <c r="DE84" s="630"/>
      <c r="DF84" s="630"/>
      <c r="DG84" s="662"/>
      <c r="DH84" s="661"/>
      <c r="DI84" s="630"/>
      <c r="DJ84" s="630"/>
      <c r="DK84" s="662"/>
      <c r="DL84" s="661"/>
      <c r="DM84" s="630"/>
      <c r="DN84" s="630"/>
      <c r="DO84" s="662"/>
      <c r="DP84" s="661"/>
      <c r="DQ84" s="630"/>
      <c r="DR84" s="630"/>
      <c r="DS84" s="662"/>
      <c r="DT84" s="661"/>
      <c r="DU84" s="630"/>
      <c r="DV84" s="630"/>
      <c r="DW84" s="662"/>
      <c r="DX84" s="661"/>
      <c r="DY84" s="630"/>
      <c r="DZ84" s="630"/>
      <c r="EA84" s="662"/>
      <c r="EB84" s="661"/>
      <c r="EC84" s="630"/>
      <c r="ED84" s="630"/>
      <c r="EE84" s="662"/>
      <c r="EF84" s="661"/>
      <c r="EG84" s="630"/>
      <c r="EH84" s="630"/>
      <c r="EI84" s="662"/>
      <c r="EJ84" s="661"/>
      <c r="EK84" s="630"/>
      <c r="EL84" s="630"/>
      <c r="EM84" s="662"/>
      <c r="EN84" s="661"/>
      <c r="EO84" s="630"/>
      <c r="EP84" s="630"/>
      <c r="EQ84" s="662"/>
      <c r="ER84" s="661"/>
      <c r="ES84" s="630"/>
      <c r="ET84" s="630"/>
      <c r="EU84" s="662"/>
      <c r="EW84" s="661"/>
      <c r="EX84" s="630"/>
      <c r="EY84" s="630"/>
      <c r="EZ84" s="662"/>
      <c r="FA84" s="661"/>
      <c r="FB84" s="630"/>
      <c r="FC84" s="630"/>
      <c r="FD84" s="662"/>
    </row>
    <row r="85" spans="1:160">
      <c r="A85" s="753" t="s">
        <v>24</v>
      </c>
      <c r="B85" s="774">
        <v>2029</v>
      </c>
      <c r="C85" s="775">
        <f>+E84</f>
        <v>10587559.622159086</v>
      </c>
      <c r="D85" s="775">
        <f>+C$31</f>
        <v>445791.98409090913</v>
      </c>
      <c r="E85" s="775">
        <f t="shared" si="6"/>
        <v>10141767.638068177</v>
      </c>
      <c r="F85" s="757">
        <f>+C$28*E85+D85</f>
        <v>2254135.4083041176</v>
      </c>
      <c r="G85" s="775">
        <f>+I84</f>
        <v>2722257.6143181794</v>
      </c>
      <c r="H85" s="775">
        <f>+G$31</f>
        <v>115840.74954545456</v>
      </c>
      <c r="I85" s="775">
        <f t="shared" si="7"/>
        <v>2606416.8647727249</v>
      </c>
      <c r="J85" s="757">
        <f>+G$28*I85+H85</f>
        <v>580581.90378747403</v>
      </c>
      <c r="K85" s="776">
        <f>+M84</f>
        <v>6948299.5658522667</v>
      </c>
      <c r="L85" s="775">
        <f>+K$31</f>
        <v>305419.76113636367</v>
      </c>
      <c r="M85" s="775">
        <f t="shared" si="8"/>
        <v>6642879.8047159035</v>
      </c>
      <c r="N85" s="757">
        <f>+K$28*M85+L85</f>
        <v>1489888.6270573454</v>
      </c>
      <c r="O85" s="776">
        <f>+Q84</f>
        <v>2963021.9015151486</v>
      </c>
      <c r="P85" s="775">
        <f>+O$31</f>
        <v>119316.31818181818</v>
      </c>
      <c r="Q85" s="775">
        <f t="shared" si="11"/>
        <v>2843705.5833333302</v>
      </c>
      <c r="R85" s="757">
        <f>+O$28*Q85+P85</f>
        <v>626367.60110775474</v>
      </c>
      <c r="S85" s="661">
        <f>+U84</f>
        <v>1350980.509696967</v>
      </c>
      <c r="T85" s="630">
        <f>+S$31</f>
        <v>58315.705454545445</v>
      </c>
      <c r="U85" s="630">
        <f t="shared" si="12"/>
        <v>1292664.8042424214</v>
      </c>
      <c r="V85" s="662">
        <f>+S$28*U85+T85</f>
        <v>288806.2847978624</v>
      </c>
      <c r="W85" s="661">
        <f>+Y84</f>
        <v>17216791.405303035</v>
      </c>
      <c r="X85" s="630">
        <f>+W$31</f>
        <v>693293.61363636365</v>
      </c>
      <c r="Y85" s="630">
        <f t="shared" si="13"/>
        <v>16523497.791666672</v>
      </c>
      <c r="Z85" s="662">
        <f>+W$28*Y85+X85</f>
        <v>3639541.214932574</v>
      </c>
      <c r="AA85" s="661">
        <f>+AC84</f>
        <v>11233262.945075756</v>
      </c>
      <c r="AB85" s="630">
        <f>+AA$31</f>
        <v>450833.29545454547</v>
      </c>
      <c r="AC85" s="630">
        <f t="shared" si="14"/>
        <v>10782429.649621211</v>
      </c>
      <c r="AD85" s="662">
        <f>+AA$28*AC85+AB85</f>
        <v>2373410.941657464</v>
      </c>
      <c r="AE85" s="661">
        <f>+AG84</f>
        <v>112648.21590909104</v>
      </c>
      <c r="AF85" s="630">
        <f>+AE$31</f>
        <v>4597.886363636364</v>
      </c>
      <c r="AG85" s="630">
        <f t="shared" si="15"/>
        <v>108050.32954545468</v>
      </c>
      <c r="AH85" s="662">
        <f>+AE$28*AG85+AF85</f>
        <v>23863.965994978793</v>
      </c>
      <c r="AI85" s="661">
        <f>+AK84</f>
        <v>7634975.3219696991</v>
      </c>
      <c r="AJ85" s="630">
        <f>+AI$31</f>
        <v>295547.43181818182</v>
      </c>
      <c r="AK85" s="630">
        <f t="shared" si="19"/>
        <v>7339427.8901515175</v>
      </c>
      <c r="AL85" s="662">
        <f>+AI$28*AK85+AJ85</f>
        <v>1604215.3717958163</v>
      </c>
      <c r="AM85" s="661">
        <f>+AO84</f>
        <v>2827106.3498863638</v>
      </c>
      <c r="AN85" s="630">
        <f>+AM$31</f>
        <v>110866.91568181818</v>
      </c>
      <c r="AO85" s="630">
        <f t="shared" si="16"/>
        <v>2716239.4342045458</v>
      </c>
      <c r="AP85" s="662">
        <f>+AM$28*AO85+AN85</f>
        <v>595190.15150464396</v>
      </c>
      <c r="AQ85" s="661">
        <f>+AS84</f>
        <v>23302005.109772727</v>
      </c>
      <c r="AR85" s="630">
        <f>+AQ$31</f>
        <v>904932.23727272719</v>
      </c>
      <c r="AS85" s="630">
        <f t="shared" si="17"/>
        <v>22397072.872499999</v>
      </c>
      <c r="AT85" s="662">
        <f>+AQ$28*AS85+AR85</f>
        <v>4898476.6464921273</v>
      </c>
      <c r="AU85" s="775"/>
      <c r="AV85" s="775"/>
      <c r="AW85" s="775"/>
      <c r="AX85" s="757"/>
      <c r="AY85" s="775"/>
      <c r="AZ85" s="775"/>
      <c r="BA85" s="775"/>
      <c r="BB85" s="757"/>
      <c r="BC85" s="775"/>
      <c r="BD85" s="775"/>
      <c r="BE85" s="775"/>
      <c r="BF85" s="757"/>
      <c r="BG85" s="775"/>
      <c r="BH85" s="775"/>
      <c r="BI85" s="775"/>
      <c r="BJ85" s="757"/>
      <c r="BK85" s="775"/>
      <c r="BL85" s="775"/>
      <c r="BM85" s="775"/>
      <c r="BN85" s="757"/>
      <c r="BO85" s="775"/>
      <c r="BP85" s="775"/>
      <c r="BQ85" s="775"/>
      <c r="BR85" s="757"/>
      <c r="BS85" s="661">
        <f>+BU84</f>
        <v>216083.04545454565</v>
      </c>
      <c r="BT85" s="630">
        <f>+BS$31</f>
        <v>8310.886363636364</v>
      </c>
      <c r="BU85" s="630">
        <f t="shared" si="18"/>
        <v>207772.15909090929</v>
      </c>
      <c r="BV85" s="662">
        <f>+BS$28*BU85+BT85</f>
        <v>45358.019667727218</v>
      </c>
      <c r="BW85" s="661">
        <f>+BY84</f>
        <v>15142082.215909101</v>
      </c>
      <c r="BX85" s="630">
        <f>+BW$31</f>
        <v>576841.22727272729</v>
      </c>
      <c r="BY85" s="630">
        <f t="shared" si="20"/>
        <v>14565240.988636374</v>
      </c>
      <c r="BZ85" s="662">
        <f>+BW$28*BY85+BX85</f>
        <v>3173918.8476488115</v>
      </c>
      <c r="CA85" s="661">
        <f>+CC84</f>
        <v>1428890.4000000013</v>
      </c>
      <c r="CB85" s="630">
        <f>+CA$31</f>
        <v>54433.919999999998</v>
      </c>
      <c r="CC85" s="630">
        <f t="shared" si="21"/>
        <v>1374456.4800000014</v>
      </c>
      <c r="CD85" s="662">
        <f>+CA$28*CC85+CB85</f>
        <v>299508.4894612144</v>
      </c>
      <c r="CE85" s="661">
        <f>+CG84</f>
        <v>124032.01363636376</v>
      </c>
      <c r="CF85" s="630">
        <f>+CE$31</f>
        <v>4725.0290909090909</v>
      </c>
      <c r="CG85" s="630">
        <f t="shared" si="22"/>
        <v>119306.98454545467</v>
      </c>
      <c r="CH85" s="662">
        <f>+CE$28*CG85+CF85</f>
        <v>25998.243846455978</v>
      </c>
      <c r="CI85" s="661">
        <f>+CK84</f>
        <v>336884.31818181789</v>
      </c>
      <c r="CJ85" s="630">
        <f>+CI$31</f>
        <v>12362.727272727272</v>
      </c>
      <c r="CK85" s="630">
        <f t="shared" si="24"/>
        <v>324521.59090909059</v>
      </c>
      <c r="CL85" s="662">
        <f>+CI$28*CK85+CJ85</f>
        <v>70227.046973059769</v>
      </c>
      <c r="CM85" s="661">
        <f>+CO84</f>
        <v>15115364.02698864</v>
      </c>
      <c r="CN85" s="630">
        <f>+CM$31</f>
        <v>483691.64886363636</v>
      </c>
      <c r="CO85" s="630">
        <f t="shared" si="35"/>
        <v>14631672.378125004</v>
      </c>
      <c r="CP85" s="662">
        <f>+CM$28*CO85+CN85</f>
        <v>3092614.419969874</v>
      </c>
      <c r="CQ85" s="661">
        <f>+CS84</f>
        <v>64063116.867102236</v>
      </c>
      <c r="CR85" s="630">
        <f>+CQ$31</f>
        <v>2017735.9643181816</v>
      </c>
      <c r="CS85" s="630">
        <f t="shared" si="40"/>
        <v>62045380.902784057</v>
      </c>
      <c r="CT85" s="662">
        <f>+CQ$28*CS85+CR85</f>
        <v>13080832.710609373</v>
      </c>
      <c r="CU85" s="661">
        <f>+CW84</f>
        <v>21638251.920000017</v>
      </c>
      <c r="CV85" s="630">
        <f>+CU$31</f>
        <v>676195.37250000006</v>
      </c>
      <c r="CW85" s="630">
        <f t="shared" si="41"/>
        <v>20962056.547500018</v>
      </c>
      <c r="CX85" s="662">
        <f>+CU$28*CW85+CV85</f>
        <v>4413866.9962681038</v>
      </c>
      <c r="CY85" s="782">
        <f t="shared" si="25"/>
        <v>21989488.765029427</v>
      </c>
      <c r="CZ85" s="756"/>
      <c r="DA85" s="778">
        <f>+CY85</f>
        <v>21989488.765029427</v>
      </c>
      <c r="DD85" s="661"/>
      <c r="DE85" s="630"/>
      <c r="DF85" s="630"/>
      <c r="DG85" s="662"/>
      <c r="DH85" s="661"/>
      <c r="DI85" s="630"/>
      <c r="DJ85" s="630"/>
      <c r="DK85" s="662"/>
      <c r="DL85" s="661"/>
      <c r="DM85" s="630"/>
      <c r="DN85" s="630"/>
      <c r="DO85" s="662"/>
      <c r="DP85" s="661"/>
      <c r="DQ85" s="630"/>
      <c r="DR85" s="630"/>
      <c r="DS85" s="662"/>
      <c r="DT85" s="661"/>
      <c r="DU85" s="630"/>
      <c r="DV85" s="630"/>
      <c r="DW85" s="662"/>
      <c r="DX85" s="661"/>
      <c r="DY85" s="630"/>
      <c r="DZ85" s="630"/>
      <c r="EA85" s="662"/>
      <c r="EB85" s="661"/>
      <c r="EC85" s="630"/>
      <c r="ED85" s="630"/>
      <c r="EE85" s="662"/>
      <c r="EF85" s="661"/>
      <c r="EG85" s="630"/>
      <c r="EH85" s="630"/>
      <c r="EI85" s="662"/>
      <c r="EJ85" s="661"/>
      <c r="EK85" s="630"/>
      <c r="EL85" s="630"/>
      <c r="EM85" s="662"/>
      <c r="EN85" s="661"/>
      <c r="EO85" s="630"/>
      <c r="EP85" s="630"/>
      <c r="EQ85" s="662"/>
      <c r="ER85" s="661"/>
      <c r="ES85" s="630"/>
      <c r="ET85" s="630"/>
      <c r="EU85" s="662"/>
      <c r="EW85" s="661"/>
      <c r="EX85" s="630"/>
      <c r="EY85" s="630"/>
      <c r="EZ85" s="662"/>
      <c r="FA85" s="661"/>
      <c r="FB85" s="630"/>
      <c r="FC85" s="630"/>
      <c r="FD85" s="662"/>
    </row>
    <row r="86" spans="1:160">
      <c r="A86" s="753" t="s">
        <v>23</v>
      </c>
      <c r="B86" s="774">
        <v>2029</v>
      </c>
      <c r="C86" s="775">
        <f>+C85</f>
        <v>10587559.622159086</v>
      </c>
      <c r="D86" s="775">
        <f>+D85</f>
        <v>445791.98409090913</v>
      </c>
      <c r="E86" s="775">
        <f t="shared" si="6"/>
        <v>10141767.638068177</v>
      </c>
      <c r="F86" s="757">
        <f>+C$29*E86+D86</f>
        <v>2334799.114085746</v>
      </c>
      <c r="G86" s="775">
        <f>+G85</f>
        <v>2722257.6143181794</v>
      </c>
      <c r="H86" s="775">
        <f>+H85</f>
        <v>115840.74954545456</v>
      </c>
      <c r="I86" s="775">
        <f t="shared" si="7"/>
        <v>2606416.8647727249</v>
      </c>
      <c r="J86" s="757">
        <f>+G$29*I86+H86</f>
        <v>601312.33763562609</v>
      </c>
      <c r="K86" s="776">
        <f>+K85</f>
        <v>6948299.5658522667</v>
      </c>
      <c r="L86" s="775">
        <f>+L85</f>
        <v>305419.76113636367</v>
      </c>
      <c r="M86" s="775">
        <f t="shared" si="8"/>
        <v>6642879.8047159035</v>
      </c>
      <c r="N86" s="757">
        <f>+K$29*M86+L86</f>
        <v>1542723.5293379889</v>
      </c>
      <c r="O86" s="776">
        <f>+O85</f>
        <v>2963021.9015151486</v>
      </c>
      <c r="P86" s="775">
        <f>+P85</f>
        <v>119316.31818181818</v>
      </c>
      <c r="Q86" s="775">
        <f t="shared" si="11"/>
        <v>2843705.5833333302</v>
      </c>
      <c r="R86" s="757">
        <f>+O$29*Q86+P86</f>
        <v>648985.33784652175</v>
      </c>
      <c r="S86" s="661">
        <f>+S85</f>
        <v>1350980.509696967</v>
      </c>
      <c r="T86" s="630">
        <f>+T85</f>
        <v>58315.705454545445</v>
      </c>
      <c r="U86" s="630">
        <f t="shared" si="12"/>
        <v>1292664.8042424214</v>
      </c>
      <c r="V86" s="662">
        <f>+S$29*U86+T86</f>
        <v>299087.64177278301</v>
      </c>
      <c r="W86" s="661">
        <f>+W85</f>
        <v>17216791.405303035</v>
      </c>
      <c r="X86" s="630">
        <f>+X85</f>
        <v>693293.61363636365</v>
      </c>
      <c r="Y86" s="630">
        <f t="shared" si="13"/>
        <v>16523497.791666672</v>
      </c>
      <c r="Z86" s="662">
        <f>+W$29*Y86+X86</f>
        <v>3770962.7394553218</v>
      </c>
      <c r="AA86" s="661">
        <f>+AA85</f>
        <v>11233262.945075756</v>
      </c>
      <c r="AB86" s="630">
        <f>+AB85</f>
        <v>450833.29545454547</v>
      </c>
      <c r="AC86" s="630">
        <f t="shared" si="14"/>
        <v>10782429.649621211</v>
      </c>
      <c r="AD86" s="662">
        <f>+AA$29*AC86+AB86</f>
        <v>2459170.2258283468</v>
      </c>
      <c r="AE86" s="661">
        <f>+AE85</f>
        <v>112648.21590909104</v>
      </c>
      <c r="AF86" s="630">
        <f>+AF85</f>
        <v>4597.886363636364</v>
      </c>
      <c r="AG86" s="630">
        <f t="shared" si="15"/>
        <v>108050.32954545468</v>
      </c>
      <c r="AH86" s="662">
        <f>+AE$29*AG86+AF86</f>
        <v>24723.356616328379</v>
      </c>
      <c r="AI86" s="661">
        <f>+AI85</f>
        <v>7634975.3219696991</v>
      </c>
      <c r="AJ86" s="630">
        <f>+AJ85</f>
        <v>295547.43181818182</v>
      </c>
      <c r="AK86" s="630">
        <f t="shared" si="19"/>
        <v>7339427.8901515175</v>
      </c>
      <c r="AL86" s="662">
        <f>+AI$29*AK86+AJ86</f>
        <v>1662590.3487292682</v>
      </c>
      <c r="AM86" s="661">
        <f>+AM85</f>
        <v>2827106.3498863638</v>
      </c>
      <c r="AN86" s="630">
        <f>+AN85</f>
        <v>110866.91568181818</v>
      </c>
      <c r="AO86" s="630">
        <f t="shared" si="16"/>
        <v>2716239.4342045458</v>
      </c>
      <c r="AP86" s="662">
        <f>+AM$29*AO86+AN86</f>
        <v>616794.07168624131</v>
      </c>
      <c r="AQ86" s="661">
        <f>+AQ85</f>
        <v>23302005.109772727</v>
      </c>
      <c r="AR86" s="630">
        <f>+AR85</f>
        <v>904932.23727272719</v>
      </c>
      <c r="AS86" s="630">
        <f t="shared" si="17"/>
        <v>22397072.872499999</v>
      </c>
      <c r="AT86" s="662">
        <f>+AQ$29*AS86+AR86</f>
        <v>5076614.3204194661</v>
      </c>
      <c r="AU86" s="775"/>
      <c r="AV86" s="775"/>
      <c r="AW86" s="775"/>
      <c r="AX86" s="757"/>
      <c r="AY86" s="775"/>
      <c r="AZ86" s="775"/>
      <c r="BA86" s="775"/>
      <c r="BB86" s="757"/>
      <c r="BC86" s="775"/>
      <c r="BD86" s="775"/>
      <c r="BE86" s="775"/>
      <c r="BF86" s="757"/>
      <c r="BG86" s="775"/>
      <c r="BH86" s="775"/>
      <c r="BI86" s="775"/>
      <c r="BJ86" s="757"/>
      <c r="BK86" s="775"/>
      <c r="BL86" s="775"/>
      <c r="BM86" s="775"/>
      <c r="BN86" s="757"/>
      <c r="BO86" s="775"/>
      <c r="BP86" s="775"/>
      <c r="BQ86" s="775"/>
      <c r="BR86" s="757"/>
      <c r="BS86" s="661">
        <f>+BS85</f>
        <v>216083.04545454565</v>
      </c>
      <c r="BT86" s="630">
        <f>+BT85</f>
        <v>8310.886363636364</v>
      </c>
      <c r="BU86" s="630">
        <f t="shared" si="18"/>
        <v>207772.15909090929</v>
      </c>
      <c r="BV86" s="662">
        <f>+BS$29*BU86+BT86</f>
        <v>47010.559235643726</v>
      </c>
      <c r="BW86" s="661">
        <f>+BW85</f>
        <v>15142082.215909101</v>
      </c>
      <c r="BX86" s="630">
        <f>+BX85</f>
        <v>576841.22727272729</v>
      </c>
      <c r="BY86" s="630">
        <f t="shared" si="20"/>
        <v>14565240.988636374</v>
      </c>
      <c r="BZ86" s="662">
        <f>+BW$29*BY86+BX86</f>
        <v>3173918.8476488115</v>
      </c>
      <c r="CA86" s="661">
        <f>+CA85</f>
        <v>1428890.4000000013</v>
      </c>
      <c r="CB86" s="630">
        <f>+CB85</f>
        <v>54433.919999999998</v>
      </c>
      <c r="CC86" s="630">
        <f t="shared" si="21"/>
        <v>1374456.4800000014</v>
      </c>
      <c r="CD86" s="662">
        <f>+CA$29*CC86+CB86</f>
        <v>310440.38585925603</v>
      </c>
      <c r="CE86" s="661">
        <f>+CE85</f>
        <v>124032.01363636376</v>
      </c>
      <c r="CF86" s="630">
        <f>+CF85</f>
        <v>4725.0290909090909</v>
      </c>
      <c r="CG86" s="630">
        <f t="shared" si="22"/>
        <v>119306.98454545467</v>
      </c>
      <c r="CH86" s="662">
        <f>+CE$29*CG86+CF86</f>
        <v>26947.165557395609</v>
      </c>
      <c r="CI86" s="661">
        <f>+CI85</f>
        <v>336884.31818181789</v>
      </c>
      <c r="CJ86" s="630">
        <f>+CJ85</f>
        <v>12362.727272727272</v>
      </c>
      <c r="CK86" s="630">
        <f t="shared" si="24"/>
        <v>324521.59090909059</v>
      </c>
      <c r="CL86" s="662">
        <f>+CI$29*CK86+CJ86</f>
        <v>70227.046973059769</v>
      </c>
      <c r="CM86" s="661">
        <f>+CM85</f>
        <v>15115364.02698864</v>
      </c>
      <c r="CN86" s="630">
        <f>+CN85</f>
        <v>483691.64886363636</v>
      </c>
      <c r="CO86" s="630">
        <f t="shared" si="35"/>
        <v>14631672.378125004</v>
      </c>
      <c r="CP86" s="662">
        <f>+CM$29*CO86+CN86</f>
        <v>3092614.419969874</v>
      </c>
      <c r="CQ86" s="661">
        <f>+CQ85</f>
        <v>64063116.867102236</v>
      </c>
      <c r="CR86" s="630">
        <f>+CR85</f>
        <v>2017735.9643181816</v>
      </c>
      <c r="CS86" s="630">
        <f t="shared" si="40"/>
        <v>62045380.902784057</v>
      </c>
      <c r="CT86" s="662">
        <f>+CQ$29*CS86+CR86</f>
        <v>13080832.710609373</v>
      </c>
      <c r="CU86" s="661">
        <f>+CU85</f>
        <v>21638251.920000017</v>
      </c>
      <c r="CV86" s="630">
        <f>+CV85</f>
        <v>676195.37250000006</v>
      </c>
      <c r="CW86" s="630">
        <f t="shared" si="41"/>
        <v>20962056.547500018</v>
      </c>
      <c r="CX86" s="662">
        <f>+CU$29*CW86+CV86</f>
        <v>4413866.9962681038</v>
      </c>
      <c r="CY86" s="782">
        <f t="shared" si="25"/>
        <v>22666307.028687801</v>
      </c>
      <c r="CZ86" s="779">
        <f>+CY86</f>
        <v>22666307.028687801</v>
      </c>
      <c r="DA86" s="752"/>
      <c r="DD86" s="661"/>
      <c r="DE86" s="630"/>
      <c r="DF86" s="630"/>
      <c r="DG86" s="662"/>
      <c r="DH86" s="661"/>
      <c r="DI86" s="630"/>
      <c r="DJ86" s="630"/>
      <c r="DK86" s="662"/>
      <c r="DL86" s="661"/>
      <c r="DM86" s="630"/>
      <c r="DN86" s="630"/>
      <c r="DO86" s="662"/>
      <c r="DP86" s="661"/>
      <c r="DQ86" s="630"/>
      <c r="DR86" s="630"/>
      <c r="DS86" s="662"/>
      <c r="DT86" s="661"/>
      <c r="DU86" s="630"/>
      <c r="DV86" s="630"/>
      <c r="DW86" s="662"/>
      <c r="DX86" s="661"/>
      <c r="DY86" s="630"/>
      <c r="DZ86" s="630"/>
      <c r="EA86" s="662"/>
      <c r="EB86" s="661"/>
      <c r="EC86" s="630"/>
      <c r="ED86" s="630"/>
      <c r="EE86" s="662"/>
      <c r="EF86" s="661"/>
      <c r="EG86" s="630"/>
      <c r="EH86" s="630"/>
      <c r="EI86" s="662"/>
      <c r="EJ86" s="661"/>
      <c r="EK86" s="630"/>
      <c r="EL86" s="630"/>
      <c r="EM86" s="662"/>
      <c r="EN86" s="661"/>
      <c r="EO86" s="630"/>
      <c r="EP86" s="630"/>
      <c r="EQ86" s="662"/>
      <c r="ER86" s="661"/>
      <c r="ES86" s="630"/>
      <c r="ET86" s="630"/>
      <c r="EU86" s="662"/>
      <c r="EW86" s="661"/>
      <c r="EX86" s="630"/>
      <c r="EY86" s="630"/>
      <c r="EZ86" s="662"/>
      <c r="FA86" s="661"/>
      <c r="FB86" s="630"/>
      <c r="FC86" s="630"/>
      <c r="FD86" s="662"/>
    </row>
    <row r="87" spans="1:160">
      <c r="A87" s="753" t="s">
        <v>24</v>
      </c>
      <c r="B87" s="774">
        <v>2030</v>
      </c>
      <c r="C87" s="775">
        <f>+E86</f>
        <v>10141767.638068177</v>
      </c>
      <c r="D87" s="775">
        <f>+C$31</f>
        <v>445791.98409090913</v>
      </c>
      <c r="E87" s="775">
        <f t="shared" si="6"/>
        <v>9695975.6539772674</v>
      </c>
      <c r="F87" s="757">
        <f>+C$28*E87+D87</f>
        <v>2174647.7852617786</v>
      </c>
      <c r="G87" s="775">
        <f>+I86</f>
        <v>2606416.8647727249</v>
      </c>
      <c r="H87" s="775">
        <f>+G$31</f>
        <v>115840.74954545456</v>
      </c>
      <c r="I87" s="775">
        <f t="shared" si="7"/>
        <v>2490576.1152272704</v>
      </c>
      <c r="J87" s="757">
        <f>+G$28*I87+H87</f>
        <v>559926.74137671769</v>
      </c>
      <c r="K87" s="776">
        <f>+M86</f>
        <v>6642879.8047159035</v>
      </c>
      <c r="L87" s="775">
        <f>+K$31</f>
        <v>305419.76113636367</v>
      </c>
      <c r="M87" s="775">
        <f t="shared" si="8"/>
        <v>6337460.0435795402</v>
      </c>
      <c r="N87" s="757">
        <f>+K$28*M87+L87</f>
        <v>1435430.2883943119</v>
      </c>
      <c r="O87" s="776">
        <f>+Q86</f>
        <v>2843705.5833333302</v>
      </c>
      <c r="P87" s="775">
        <f>+O$31</f>
        <v>119316.31818181818</v>
      </c>
      <c r="Q87" s="775">
        <f t="shared" si="11"/>
        <v>2724389.2651515119</v>
      </c>
      <c r="R87" s="757">
        <f>+O$28*Q87+P87</f>
        <v>605092.72210386919</v>
      </c>
      <c r="S87" s="661">
        <f>+U86</f>
        <v>1292664.8042424214</v>
      </c>
      <c r="T87" s="630">
        <f>+S$31</f>
        <v>58315.705454545445</v>
      </c>
      <c r="U87" s="630">
        <f t="shared" si="12"/>
        <v>1234349.0987878758</v>
      </c>
      <c r="V87" s="662">
        <f>+S$28*U87+T87</f>
        <v>278408.21354929166</v>
      </c>
      <c r="W87" s="661">
        <f>+Y86</f>
        <v>16523497.791666672</v>
      </c>
      <c r="X87" s="630">
        <f>+W$31</f>
        <v>693293.61363636365</v>
      </c>
      <c r="Y87" s="630">
        <f t="shared" si="13"/>
        <v>15830204.178030308</v>
      </c>
      <c r="Z87" s="662">
        <f>+W$28*Y87+X87</f>
        <v>3515922.4344586073</v>
      </c>
      <c r="AA87" s="661">
        <f>+AC86</f>
        <v>10782429.649621211</v>
      </c>
      <c r="AB87" s="630">
        <f>+AA$31</f>
        <v>450833.29545454547</v>
      </c>
      <c r="AC87" s="630">
        <f t="shared" si="14"/>
        <v>10331596.354166666</v>
      </c>
      <c r="AD87" s="662">
        <f>+AA$28*AC87+AB87</f>
        <v>2293024.4198650075</v>
      </c>
      <c r="AE87" s="661">
        <f>+AG86</f>
        <v>108050.32954545468</v>
      </c>
      <c r="AF87" s="630">
        <f>+AE$31</f>
        <v>4597.886363636364</v>
      </c>
      <c r="AG87" s="630">
        <f t="shared" si="15"/>
        <v>103452.44318181831</v>
      </c>
      <c r="AH87" s="662">
        <f>+AE$28*AG87+AF87</f>
        <v>23044.13281917699</v>
      </c>
      <c r="AI87" s="661">
        <f>+AK86</f>
        <v>7339427.8901515175</v>
      </c>
      <c r="AJ87" s="630">
        <f>+AI$31</f>
        <v>295547.43181818182</v>
      </c>
      <c r="AK87" s="630">
        <f t="shared" si="19"/>
        <v>7043880.4583333358</v>
      </c>
      <c r="AL87" s="662">
        <f>+AI$28*AK87+AJ87</f>
        <v>1551517.3339443679</v>
      </c>
      <c r="AM87" s="661">
        <f>+AO86</f>
        <v>2716239.4342045458</v>
      </c>
      <c r="AN87" s="630">
        <f>+AM$31</f>
        <v>110866.91568181818</v>
      </c>
      <c r="AO87" s="630">
        <f t="shared" si="16"/>
        <v>2605372.5185227278</v>
      </c>
      <c r="AP87" s="662">
        <f>+AM$28*AO87+AN87</f>
        <v>575421.85616493679</v>
      </c>
      <c r="AQ87" s="661">
        <f>+AS86</f>
        <v>22397072.872499999</v>
      </c>
      <c r="AR87" s="630">
        <f>+AQ$31</f>
        <v>904932.23727272719</v>
      </c>
      <c r="AS87" s="630">
        <f t="shared" si="17"/>
        <v>21492140.63522727</v>
      </c>
      <c r="AT87" s="662">
        <f>+AQ$28*AS87+AR87</f>
        <v>4737121.3168266965</v>
      </c>
      <c r="AU87" s="775"/>
      <c r="AV87" s="775"/>
      <c r="AW87" s="775"/>
      <c r="AX87" s="757"/>
      <c r="AY87" s="775"/>
      <c r="AZ87" s="775"/>
      <c r="BA87" s="775"/>
      <c r="BB87" s="757"/>
      <c r="BC87" s="775"/>
      <c r="BD87" s="775"/>
      <c r="BE87" s="775"/>
      <c r="BF87" s="757"/>
      <c r="BG87" s="775"/>
      <c r="BH87" s="775"/>
      <c r="BI87" s="775"/>
      <c r="BJ87" s="757"/>
      <c r="BK87" s="775"/>
      <c r="BL87" s="775"/>
      <c r="BM87" s="775"/>
      <c r="BN87" s="757"/>
      <c r="BO87" s="775"/>
      <c r="BP87" s="775"/>
      <c r="BQ87" s="775"/>
      <c r="BR87" s="757"/>
      <c r="BS87" s="661">
        <f>+BU86</f>
        <v>207772.15909090929</v>
      </c>
      <c r="BT87" s="630">
        <f>+BS$31</f>
        <v>8310.886363636364</v>
      </c>
      <c r="BU87" s="630">
        <f t="shared" si="18"/>
        <v>199461.27272727294</v>
      </c>
      <c r="BV87" s="662">
        <f>+BS$28*BU87+BT87</f>
        <v>43876.134335563591</v>
      </c>
      <c r="BW87" s="661">
        <f>+BY86</f>
        <v>14565240.988636374</v>
      </c>
      <c r="BX87" s="630">
        <f>+BW$31</f>
        <v>576841.22727272729</v>
      </c>
      <c r="BY87" s="630">
        <f t="shared" si="20"/>
        <v>13988399.761363648</v>
      </c>
      <c r="BZ87" s="662">
        <f>+BW$28*BY87+BX87</f>
        <v>3071064.288425996</v>
      </c>
      <c r="CA87" s="661">
        <f>+CC86</f>
        <v>1374456.4800000014</v>
      </c>
      <c r="CB87" s="630">
        <f>+CA$31</f>
        <v>54433.919999999998</v>
      </c>
      <c r="CC87" s="630">
        <f t="shared" si="21"/>
        <v>1320022.5600000015</v>
      </c>
      <c r="CD87" s="662">
        <f>+CA$28*CC87+CB87</f>
        <v>289802.56591819605</v>
      </c>
      <c r="CE87" s="661">
        <f>+CG86</f>
        <v>119306.98454545467</v>
      </c>
      <c r="CF87" s="630">
        <f>+CE$31</f>
        <v>4725.0290909090909</v>
      </c>
      <c r="CG87" s="630">
        <f t="shared" si="22"/>
        <v>114581.95545454559</v>
      </c>
      <c r="CH87" s="662">
        <f>+CE$28*CG87+CF87</f>
        <v>25155.740291780858</v>
      </c>
      <c r="CI87" s="661">
        <f>+CK86</f>
        <v>324521.59090909059</v>
      </c>
      <c r="CJ87" s="630">
        <f>+CI$31</f>
        <v>12362.727272727272</v>
      </c>
      <c r="CK87" s="630">
        <f t="shared" si="24"/>
        <v>312158.8636363633</v>
      </c>
      <c r="CL87" s="662">
        <f>+CI$28*CK87+CJ87</f>
        <v>68022.691936856616</v>
      </c>
      <c r="CM87" s="661">
        <f>+CO86</f>
        <v>14631672.378125004</v>
      </c>
      <c r="CN87" s="630">
        <f>+CM$31</f>
        <v>483691.64886363636</v>
      </c>
      <c r="CO87" s="630">
        <f t="shared" si="35"/>
        <v>14147980.729261369</v>
      </c>
      <c r="CP87" s="662">
        <f>+CM$28*CO87+CN87</f>
        <v>3006369.039106858</v>
      </c>
      <c r="CQ87" s="661">
        <f>+CS86</f>
        <v>62045380.902784057</v>
      </c>
      <c r="CR87" s="630">
        <f>+CQ$31</f>
        <v>2017735.9643181816</v>
      </c>
      <c r="CS87" s="630">
        <f t="shared" si="40"/>
        <v>60027644.938465878</v>
      </c>
      <c r="CT87" s="662">
        <f>+CQ$28*CS87+CR87</f>
        <v>12721057.206664944</v>
      </c>
      <c r="CU87" s="661">
        <f>+CW86</f>
        <v>20962056.547500018</v>
      </c>
      <c r="CV87" s="630">
        <f>+CU$31</f>
        <v>676195.37250000006</v>
      </c>
      <c r="CW87" s="630">
        <f t="shared" si="41"/>
        <v>20285861.175000019</v>
      </c>
      <c r="CX87" s="662">
        <f>+CU$28*CW87+CV87</f>
        <v>4293296.9438884882</v>
      </c>
      <c r="CY87" s="782">
        <f t="shared" si="25"/>
        <v>21247478.665673159</v>
      </c>
      <c r="CZ87" s="756"/>
      <c r="DA87" s="778">
        <f>+CY87</f>
        <v>21247478.665673159</v>
      </c>
      <c r="DD87" s="661"/>
      <c r="DE87" s="630"/>
      <c r="DF87" s="630"/>
      <c r="DG87" s="662"/>
      <c r="DH87" s="661"/>
      <c r="DI87" s="630"/>
      <c r="DJ87" s="630"/>
      <c r="DK87" s="662"/>
      <c r="DL87" s="661"/>
      <c r="DM87" s="630"/>
      <c r="DN87" s="630"/>
      <c r="DO87" s="662"/>
      <c r="DP87" s="661"/>
      <c r="DQ87" s="630"/>
      <c r="DR87" s="630"/>
      <c r="DS87" s="662"/>
      <c r="DT87" s="661"/>
      <c r="DU87" s="630"/>
      <c r="DV87" s="630"/>
      <c r="DW87" s="662"/>
      <c r="DX87" s="661"/>
      <c r="DY87" s="630"/>
      <c r="DZ87" s="630"/>
      <c r="EA87" s="662"/>
      <c r="EB87" s="661"/>
      <c r="EC87" s="630"/>
      <c r="ED87" s="630"/>
      <c r="EE87" s="662"/>
      <c r="EF87" s="661"/>
      <c r="EG87" s="630"/>
      <c r="EH87" s="630"/>
      <c r="EI87" s="662"/>
      <c r="EJ87" s="661"/>
      <c r="EK87" s="630"/>
      <c r="EL87" s="630"/>
      <c r="EM87" s="662"/>
      <c r="EN87" s="661"/>
      <c r="EO87" s="630"/>
      <c r="EP87" s="630"/>
      <c r="EQ87" s="662"/>
      <c r="ER87" s="661"/>
      <c r="ES87" s="630"/>
      <c r="ET87" s="630"/>
      <c r="EU87" s="662"/>
      <c r="EW87" s="661"/>
      <c r="EX87" s="630"/>
      <c r="EY87" s="630"/>
      <c r="EZ87" s="662"/>
      <c r="FA87" s="661"/>
      <c r="FB87" s="630"/>
      <c r="FC87" s="630"/>
      <c r="FD87" s="662"/>
    </row>
    <row r="88" spans="1:160">
      <c r="A88" s="753" t="s">
        <v>23</v>
      </c>
      <c r="B88" s="774">
        <v>2030</v>
      </c>
      <c r="C88" s="775">
        <f>+C87</f>
        <v>10141767.638068177</v>
      </c>
      <c r="D88" s="775">
        <f>+D87</f>
        <v>445791.98409090913</v>
      </c>
      <c r="E88" s="775">
        <f t="shared" si="6"/>
        <v>9695975.6539772674</v>
      </c>
      <c r="F88" s="757">
        <f>+C$29*E88+D88</f>
        <v>2251765.8336464125</v>
      </c>
      <c r="G88" s="775">
        <f>+G87</f>
        <v>2606416.8647727249</v>
      </c>
      <c r="H88" s="775">
        <f>+H87</f>
        <v>115840.74954545456</v>
      </c>
      <c r="I88" s="775">
        <f t="shared" si="7"/>
        <v>2490576.1152272704</v>
      </c>
      <c r="J88" s="757">
        <f>+G$29*I88+H88</f>
        <v>579735.82260939619</v>
      </c>
      <c r="K88" s="776">
        <f>+K87</f>
        <v>6642879.8047159035</v>
      </c>
      <c r="L88" s="775">
        <f>+L87</f>
        <v>305419.76113636367</v>
      </c>
      <c r="M88" s="775">
        <f t="shared" si="8"/>
        <v>6337460.0435795402</v>
      </c>
      <c r="N88" s="757">
        <f>+K$29*M88+L88</f>
        <v>1485835.9997655004</v>
      </c>
      <c r="O88" s="776">
        <f>+O87</f>
        <v>2843705.5833333302</v>
      </c>
      <c r="P88" s="775">
        <f>+P87</f>
        <v>119316.31818181818</v>
      </c>
      <c r="Q88" s="775">
        <f t="shared" si="11"/>
        <v>2724389.2651515119</v>
      </c>
      <c r="R88" s="757">
        <f>+O$29*Q88+P88</f>
        <v>626761.46289555519</v>
      </c>
      <c r="S88" s="661">
        <f>+S87</f>
        <v>1292664.8042424214</v>
      </c>
      <c r="T88" s="630">
        <f>+T87</f>
        <v>58315.705454545445</v>
      </c>
      <c r="U88" s="630">
        <f t="shared" si="12"/>
        <v>1234349.0987878758</v>
      </c>
      <c r="V88" s="662">
        <f>+S$29*U88+T88</f>
        <v>288225.74990880233</v>
      </c>
      <c r="W88" s="661">
        <f>+W87</f>
        <v>16523497.791666672</v>
      </c>
      <c r="X88" s="630">
        <f>+X87</f>
        <v>693293.61363636365</v>
      </c>
      <c r="Y88" s="630">
        <f t="shared" si="13"/>
        <v>15830204.178030308</v>
      </c>
      <c r="Z88" s="662">
        <f>+W$29*Y88+X88</f>
        <v>3641829.7691412396</v>
      </c>
      <c r="AA88" s="661">
        <f>+AA87</f>
        <v>10782429.649621211</v>
      </c>
      <c r="AB88" s="630">
        <f>+AB87</f>
        <v>450833.29545454547</v>
      </c>
      <c r="AC88" s="630">
        <f t="shared" si="14"/>
        <v>10331596.354166666</v>
      </c>
      <c r="AD88" s="662">
        <f>+AA$29*AC88+AB88</f>
        <v>2375197.9499939024</v>
      </c>
      <c r="AE88" s="661">
        <f>+AE87</f>
        <v>108050.32954545468</v>
      </c>
      <c r="AF88" s="630">
        <f>+AF87</f>
        <v>4597.886363636364</v>
      </c>
      <c r="AG88" s="630">
        <f t="shared" si="15"/>
        <v>103452.44318181831</v>
      </c>
      <c r="AH88" s="662">
        <f>+AE$29*AG88+AF88</f>
        <v>23866.953626852126</v>
      </c>
      <c r="AI88" s="661">
        <f>+AI87</f>
        <v>7339427.8901515175</v>
      </c>
      <c r="AJ88" s="630">
        <f>+AJ87</f>
        <v>295547.43181818182</v>
      </c>
      <c r="AK88" s="630">
        <f t="shared" si="19"/>
        <v>7043880.4583333358</v>
      </c>
      <c r="AL88" s="662">
        <f>+AI$29*AK88+AJ88</f>
        <v>1607541.6406657347</v>
      </c>
      <c r="AM88" s="661">
        <f>+AM87</f>
        <v>2716239.4342045458</v>
      </c>
      <c r="AN88" s="630">
        <f>+AN87</f>
        <v>110866.91568181818</v>
      </c>
      <c r="AO88" s="630">
        <f t="shared" si="16"/>
        <v>2605372.5185227278</v>
      </c>
      <c r="AP88" s="662">
        <f>+AM$29*AO88+AN88</f>
        <v>596143.98368606088</v>
      </c>
      <c r="AQ88" s="661">
        <f>+AQ87</f>
        <v>22397072.872499999</v>
      </c>
      <c r="AR88" s="630">
        <f>+AR87</f>
        <v>904932.23727272719</v>
      </c>
      <c r="AS88" s="630">
        <f t="shared" si="17"/>
        <v>21492140.63522727</v>
      </c>
      <c r="AT88" s="662">
        <f>+AQ$29*AS88+AR88</f>
        <v>4908061.5089791939</v>
      </c>
      <c r="AU88" s="775"/>
      <c r="AV88" s="775"/>
      <c r="AW88" s="775"/>
      <c r="AX88" s="757"/>
      <c r="AY88" s="775"/>
      <c r="AZ88" s="775"/>
      <c r="BA88" s="775"/>
      <c r="BB88" s="757"/>
      <c r="BC88" s="775"/>
      <c r="BD88" s="775"/>
      <c r="BE88" s="775"/>
      <c r="BF88" s="757"/>
      <c r="BG88" s="775"/>
      <c r="BH88" s="775"/>
      <c r="BI88" s="775"/>
      <c r="BJ88" s="757"/>
      <c r="BK88" s="775"/>
      <c r="BL88" s="775"/>
      <c r="BM88" s="775"/>
      <c r="BN88" s="757"/>
      <c r="BO88" s="775"/>
      <c r="BP88" s="775"/>
      <c r="BQ88" s="775"/>
      <c r="BR88" s="757"/>
      <c r="BS88" s="661">
        <f>+BS87</f>
        <v>207772.15909090929</v>
      </c>
      <c r="BT88" s="630">
        <f>+BT87</f>
        <v>8310.886363636364</v>
      </c>
      <c r="BU88" s="630">
        <f t="shared" si="18"/>
        <v>199461.27272727294</v>
      </c>
      <c r="BV88" s="662">
        <f>+BS$29*BU88+BT88</f>
        <v>45462.572320763429</v>
      </c>
      <c r="BW88" s="661">
        <f>+BW87</f>
        <v>14565240.988636374</v>
      </c>
      <c r="BX88" s="630">
        <f>+BX87</f>
        <v>576841.22727272729</v>
      </c>
      <c r="BY88" s="630">
        <f t="shared" si="20"/>
        <v>13988399.761363648</v>
      </c>
      <c r="BZ88" s="662">
        <f>+BW$29*BY88+BX88</f>
        <v>3071064.288425996</v>
      </c>
      <c r="CA88" s="661">
        <f>+CA87</f>
        <v>1374456.4800000014</v>
      </c>
      <c r="CB88" s="630">
        <f>+CB87</f>
        <v>54433.919999999998</v>
      </c>
      <c r="CC88" s="630">
        <f t="shared" si="21"/>
        <v>1320022.5600000015</v>
      </c>
      <c r="CD88" s="662">
        <f>+CA$29*CC88+CB88</f>
        <v>300301.51592423604</v>
      </c>
      <c r="CE88" s="661">
        <f>+CE87</f>
        <v>119306.98454545467</v>
      </c>
      <c r="CF88" s="630">
        <f>+CF87</f>
        <v>4725.0290909090909</v>
      </c>
      <c r="CG88" s="630">
        <f t="shared" si="22"/>
        <v>114581.95545454559</v>
      </c>
      <c r="CH88" s="662">
        <f>+CE$29*CG88+CF88</f>
        <v>26067.080944861493</v>
      </c>
      <c r="CI88" s="661">
        <f>+CI87</f>
        <v>324521.59090909059</v>
      </c>
      <c r="CJ88" s="630">
        <f>+CJ87</f>
        <v>12362.727272727272</v>
      </c>
      <c r="CK88" s="630">
        <f t="shared" si="24"/>
        <v>312158.8636363633</v>
      </c>
      <c r="CL88" s="662">
        <f>+CI$29*CK88+CJ88</f>
        <v>68022.691936856616</v>
      </c>
      <c r="CM88" s="661">
        <f>+CM87</f>
        <v>14631672.378125004</v>
      </c>
      <c r="CN88" s="630">
        <f>+CN87</f>
        <v>483691.64886363636</v>
      </c>
      <c r="CO88" s="630">
        <f t="shared" si="35"/>
        <v>14147980.729261369</v>
      </c>
      <c r="CP88" s="662">
        <f>+CM$29*CO88+CN88</f>
        <v>3006369.039106858</v>
      </c>
      <c r="CQ88" s="661">
        <f>+CQ87</f>
        <v>62045380.902784057</v>
      </c>
      <c r="CR88" s="630">
        <f>+CR87</f>
        <v>2017735.9643181816</v>
      </c>
      <c r="CS88" s="630">
        <f t="shared" si="40"/>
        <v>60027644.938465878</v>
      </c>
      <c r="CT88" s="662">
        <f>+CQ$29*CS88+CR88</f>
        <v>12721057.206664944</v>
      </c>
      <c r="CU88" s="661">
        <f>+CU87</f>
        <v>20962056.547500018</v>
      </c>
      <c r="CV88" s="630">
        <f>+CV87</f>
        <v>676195.37250000006</v>
      </c>
      <c r="CW88" s="630">
        <f t="shared" si="41"/>
        <v>20285861.175000019</v>
      </c>
      <c r="CX88" s="662">
        <f>+CU$29*CW88+CV88</f>
        <v>4293296.9438884882</v>
      </c>
      <c r="CY88" s="782">
        <f t="shared" si="25"/>
        <v>21895884.824471369</v>
      </c>
      <c r="CZ88" s="779">
        <f>+CY88</f>
        <v>21895884.824471369</v>
      </c>
      <c r="DA88" s="752"/>
      <c r="DD88" s="661"/>
      <c r="DE88" s="630"/>
      <c r="DF88" s="630"/>
      <c r="DG88" s="662"/>
      <c r="DH88" s="661"/>
      <c r="DI88" s="630"/>
      <c r="DJ88" s="630"/>
      <c r="DK88" s="662"/>
      <c r="DL88" s="661"/>
      <c r="DM88" s="630"/>
      <c r="DN88" s="630"/>
      <c r="DO88" s="662"/>
      <c r="DP88" s="661"/>
      <c r="DQ88" s="630"/>
      <c r="DR88" s="630"/>
      <c r="DS88" s="662"/>
      <c r="DT88" s="661"/>
      <c r="DU88" s="630"/>
      <c r="DV88" s="630"/>
      <c r="DW88" s="662"/>
      <c r="DX88" s="661"/>
      <c r="DY88" s="630"/>
      <c r="DZ88" s="630"/>
      <c r="EA88" s="662"/>
      <c r="EB88" s="661"/>
      <c r="EC88" s="630"/>
      <c r="ED88" s="630"/>
      <c r="EE88" s="662"/>
      <c r="EF88" s="661"/>
      <c r="EG88" s="630"/>
      <c r="EH88" s="630"/>
      <c r="EI88" s="662"/>
      <c r="EJ88" s="661"/>
      <c r="EK88" s="630"/>
      <c r="EL88" s="630"/>
      <c r="EM88" s="662"/>
      <c r="EN88" s="661"/>
      <c r="EO88" s="630"/>
      <c r="EP88" s="630"/>
      <c r="EQ88" s="662"/>
      <c r="ER88" s="661"/>
      <c r="ES88" s="630"/>
      <c r="ET88" s="630"/>
      <c r="EU88" s="662"/>
      <c r="EW88" s="661"/>
      <c r="EX88" s="630"/>
      <c r="EY88" s="630"/>
      <c r="EZ88" s="662"/>
      <c r="FA88" s="661"/>
      <c r="FB88" s="630"/>
      <c r="FC88" s="630"/>
      <c r="FD88" s="662"/>
    </row>
    <row r="89" spans="1:160">
      <c r="A89" s="753" t="s">
        <v>24</v>
      </c>
      <c r="B89" s="774">
        <v>2031</v>
      </c>
      <c r="C89" s="775">
        <f>+E88</f>
        <v>9695975.6539772674</v>
      </c>
      <c r="D89" s="775">
        <f>+C$31</f>
        <v>445791.98409090913</v>
      </c>
      <c r="E89" s="775">
        <f t="shared" si="6"/>
        <v>9250183.6698863581</v>
      </c>
      <c r="F89" s="757">
        <f>+C$28*E89+D89</f>
        <v>2095160.1622194399</v>
      </c>
      <c r="G89" s="775">
        <f>+I88</f>
        <v>2490576.1152272704</v>
      </c>
      <c r="H89" s="775">
        <f>+G$31</f>
        <v>115840.74954545456</v>
      </c>
      <c r="I89" s="775">
        <f t="shared" si="7"/>
        <v>2374735.3656818159</v>
      </c>
      <c r="J89" s="757">
        <f>+G$28*I89+H89</f>
        <v>539271.57896596123</v>
      </c>
      <c r="K89" s="776">
        <f>+M88</f>
        <v>6337460.0435795402</v>
      </c>
      <c r="L89" s="775">
        <f>+K$31</f>
        <v>305419.76113636367</v>
      </c>
      <c r="M89" s="775">
        <f t="shared" si="8"/>
        <v>6032040.282443177</v>
      </c>
      <c r="N89" s="757">
        <f>+K$28*M89+L89</f>
        <v>1380971.9497312782</v>
      </c>
      <c r="O89" s="776">
        <f>+Q88</f>
        <v>2724389.2651515119</v>
      </c>
      <c r="P89" s="775">
        <f>+O$31</f>
        <v>119316.31818181818</v>
      </c>
      <c r="Q89" s="775">
        <f t="shared" si="11"/>
        <v>2605072.9469696935</v>
      </c>
      <c r="R89" s="757">
        <f>+O$28*Q89+P89</f>
        <v>583817.84309998364</v>
      </c>
      <c r="S89" s="661">
        <f>+U88</f>
        <v>1234349.0987878758</v>
      </c>
      <c r="T89" s="630">
        <f>+S$31</f>
        <v>58315.705454545445</v>
      </c>
      <c r="U89" s="630">
        <f t="shared" si="12"/>
        <v>1176033.3933333303</v>
      </c>
      <c r="V89" s="662">
        <f>+S$28*U89+T89</f>
        <v>268010.14230072091</v>
      </c>
      <c r="W89" s="661">
        <f>+Y88</f>
        <v>15830204.178030308</v>
      </c>
      <c r="X89" s="630">
        <f>+W$31</f>
        <v>693293.61363636365</v>
      </c>
      <c r="Y89" s="630">
        <f t="shared" si="13"/>
        <v>15136910.564393945</v>
      </c>
      <c r="Z89" s="662">
        <f>+W$28*Y89+X89</f>
        <v>3392303.6539846407</v>
      </c>
      <c r="AA89" s="661">
        <f>+AC88</f>
        <v>10331596.354166666</v>
      </c>
      <c r="AB89" s="630">
        <f>+AA$31</f>
        <v>450833.29545454547</v>
      </c>
      <c r="AC89" s="630">
        <f t="shared" si="14"/>
        <v>9880763.0587121211</v>
      </c>
      <c r="AD89" s="662">
        <f>+AA$28*AC89+AB89</f>
        <v>2212637.898072551</v>
      </c>
      <c r="AE89" s="661">
        <f>+AG88</f>
        <v>103452.44318181831</v>
      </c>
      <c r="AF89" s="630">
        <f>+AE$31</f>
        <v>4597.886363636364</v>
      </c>
      <c r="AG89" s="630">
        <f t="shared" si="15"/>
        <v>98854.55681818194</v>
      </c>
      <c r="AH89" s="662">
        <f>+AE$28*AG89+AF89</f>
        <v>22224.299643375183</v>
      </c>
      <c r="AI89" s="661">
        <f>+AK88</f>
        <v>7043880.4583333358</v>
      </c>
      <c r="AJ89" s="630">
        <f>+AI$31</f>
        <v>295547.43181818182</v>
      </c>
      <c r="AK89" s="630">
        <f t="shared" si="19"/>
        <v>6748333.0265151542</v>
      </c>
      <c r="AL89" s="662">
        <f>+AI$28*AK89+AJ89</f>
        <v>1498819.2960929195</v>
      </c>
      <c r="AM89" s="661">
        <f>+AO88</f>
        <v>2605372.5185227278</v>
      </c>
      <c r="AN89" s="630">
        <f>+AM$31</f>
        <v>110866.91568181818</v>
      </c>
      <c r="AO89" s="630">
        <f t="shared" si="16"/>
        <v>2494505.6028409097</v>
      </c>
      <c r="AP89" s="662">
        <f>+AM$28*AO89+AN89</f>
        <v>555653.56082522962</v>
      </c>
      <c r="AQ89" s="661">
        <f>+AS88</f>
        <v>21492140.63522727</v>
      </c>
      <c r="AR89" s="630">
        <f>+AQ$31</f>
        <v>904932.23727272719</v>
      </c>
      <c r="AS89" s="630">
        <f t="shared" si="17"/>
        <v>20587208.397954542</v>
      </c>
      <c r="AT89" s="662">
        <f>+AQ$28*AS89+AR89</f>
        <v>4575765.9871612666</v>
      </c>
      <c r="AU89" s="775"/>
      <c r="AV89" s="775"/>
      <c r="AW89" s="775"/>
      <c r="AX89" s="757"/>
      <c r="AY89" s="775"/>
      <c r="AZ89" s="775"/>
      <c r="BA89" s="775"/>
      <c r="BB89" s="757"/>
      <c r="BC89" s="775"/>
      <c r="BD89" s="775"/>
      <c r="BE89" s="775"/>
      <c r="BF89" s="757"/>
      <c r="BG89" s="775"/>
      <c r="BH89" s="775"/>
      <c r="BI89" s="775"/>
      <c r="BJ89" s="757"/>
      <c r="BK89" s="775"/>
      <c r="BL89" s="775"/>
      <c r="BM89" s="775"/>
      <c r="BN89" s="757"/>
      <c r="BO89" s="775"/>
      <c r="BP89" s="775"/>
      <c r="BQ89" s="775"/>
      <c r="BR89" s="757"/>
      <c r="BS89" s="661">
        <f>+BU88</f>
        <v>199461.27272727294</v>
      </c>
      <c r="BT89" s="630">
        <f>+BS$31</f>
        <v>8310.886363636364</v>
      </c>
      <c r="BU89" s="630">
        <f t="shared" si="18"/>
        <v>191150.38636363659</v>
      </c>
      <c r="BV89" s="662">
        <f>+BS$28*BU89+BT89</f>
        <v>42394.249003399964</v>
      </c>
      <c r="BW89" s="661">
        <f>+BY88</f>
        <v>13988399.761363648</v>
      </c>
      <c r="BX89" s="630">
        <f>+BW$31</f>
        <v>576841.22727272729</v>
      </c>
      <c r="BY89" s="630">
        <f t="shared" si="20"/>
        <v>13411558.534090921</v>
      </c>
      <c r="BZ89" s="662">
        <f>+BW$28*BY89+BX89</f>
        <v>2968209.7292031813</v>
      </c>
      <c r="CA89" s="661">
        <f>+CC88</f>
        <v>1320022.5600000015</v>
      </c>
      <c r="CB89" s="630">
        <f>+CA$31</f>
        <v>54433.919999999998</v>
      </c>
      <c r="CC89" s="630">
        <f t="shared" si="21"/>
        <v>1265588.6400000015</v>
      </c>
      <c r="CD89" s="662">
        <f>+CA$28*CC89+CB89</f>
        <v>280096.64237517765</v>
      </c>
      <c r="CE89" s="661">
        <f>+CG88</f>
        <v>114581.95545454559</v>
      </c>
      <c r="CF89" s="630">
        <f>+CE$31</f>
        <v>4725.0290909090909</v>
      </c>
      <c r="CG89" s="630">
        <f t="shared" si="22"/>
        <v>109856.92636363651</v>
      </c>
      <c r="CH89" s="662">
        <f>+CE$28*CG89+CF89</f>
        <v>24313.236737105733</v>
      </c>
      <c r="CI89" s="661">
        <f>+CK88</f>
        <v>312158.8636363633</v>
      </c>
      <c r="CJ89" s="630">
        <f>+CI$31</f>
        <v>12362.727272727272</v>
      </c>
      <c r="CK89" s="630">
        <f t="shared" si="24"/>
        <v>299796.136363636</v>
      </c>
      <c r="CL89" s="662">
        <f>+CI$28*CK89+CJ89</f>
        <v>65818.336900653463</v>
      </c>
      <c r="CM89" s="661">
        <f>+CO88</f>
        <v>14147980.729261369</v>
      </c>
      <c r="CN89" s="630">
        <f>+CM$31</f>
        <v>483691.64886363636</v>
      </c>
      <c r="CO89" s="630">
        <f t="shared" si="35"/>
        <v>13664289.080397733</v>
      </c>
      <c r="CP89" s="662">
        <f>+CM$28*CO89+CN89</f>
        <v>2920123.658243842</v>
      </c>
      <c r="CQ89" s="661">
        <f>+CS88</f>
        <v>60027644.938465878</v>
      </c>
      <c r="CR89" s="630">
        <f>+CQ$31</f>
        <v>2017735.9643181816</v>
      </c>
      <c r="CS89" s="630">
        <f t="shared" si="40"/>
        <v>58009908.9741477</v>
      </c>
      <c r="CT89" s="662">
        <f>+CQ$28*CS89+CR89</f>
        <v>12361281.702720515</v>
      </c>
      <c r="CU89" s="661">
        <f>+CW88</f>
        <v>20285861.175000019</v>
      </c>
      <c r="CV89" s="630">
        <f>+CU$31</f>
        <v>676195.37250000006</v>
      </c>
      <c r="CW89" s="630">
        <f t="shared" si="41"/>
        <v>19609665.802500021</v>
      </c>
      <c r="CX89" s="662">
        <f>+CU$28*CW89+CV89</f>
        <v>4172726.8915088722</v>
      </c>
      <c r="CY89" s="782">
        <f t="shared" si="25"/>
        <v>20505468.566316888</v>
      </c>
      <c r="CZ89" s="756"/>
      <c r="DA89" s="778">
        <f>+CY89</f>
        <v>20505468.566316888</v>
      </c>
      <c r="DD89" s="661"/>
      <c r="DE89" s="630"/>
      <c r="DF89" s="630"/>
      <c r="DG89" s="662"/>
      <c r="DH89" s="661"/>
      <c r="DI89" s="630"/>
      <c r="DJ89" s="630"/>
      <c r="DK89" s="662"/>
      <c r="DL89" s="661"/>
      <c r="DM89" s="630"/>
      <c r="DN89" s="630"/>
      <c r="DO89" s="662"/>
      <c r="DP89" s="661"/>
      <c r="DQ89" s="630"/>
      <c r="DR89" s="630"/>
      <c r="DS89" s="662"/>
      <c r="DT89" s="661"/>
      <c r="DU89" s="630"/>
      <c r="DV89" s="630"/>
      <c r="DW89" s="662"/>
      <c r="DX89" s="661"/>
      <c r="DY89" s="630"/>
      <c r="DZ89" s="630"/>
      <c r="EA89" s="662"/>
      <c r="EB89" s="661"/>
      <c r="EC89" s="630"/>
      <c r="ED89" s="630"/>
      <c r="EE89" s="662"/>
      <c r="EF89" s="661"/>
      <c r="EG89" s="630"/>
      <c r="EH89" s="630"/>
      <c r="EI89" s="662"/>
      <c r="EJ89" s="661"/>
      <c r="EK89" s="630"/>
      <c r="EL89" s="630"/>
      <c r="EM89" s="662"/>
      <c r="EN89" s="661"/>
      <c r="EO89" s="630"/>
      <c r="EP89" s="630"/>
      <c r="EQ89" s="662"/>
      <c r="ER89" s="661"/>
      <c r="ES89" s="630"/>
      <c r="ET89" s="630"/>
      <c r="EU89" s="662"/>
      <c r="EW89" s="661"/>
      <c r="EX89" s="630"/>
      <c r="EY89" s="630"/>
      <c r="EZ89" s="662"/>
      <c r="FA89" s="661"/>
      <c r="FB89" s="630"/>
      <c r="FC89" s="630"/>
      <c r="FD89" s="662"/>
    </row>
    <row r="90" spans="1:160">
      <c r="A90" s="753" t="s">
        <v>23</v>
      </c>
      <c r="B90" s="774">
        <v>2031</v>
      </c>
      <c r="C90" s="775">
        <f>+C89</f>
        <v>9695975.6539772674</v>
      </c>
      <c r="D90" s="775">
        <f>+D89</f>
        <v>445791.98409090913</v>
      </c>
      <c r="E90" s="775">
        <f t="shared" si="6"/>
        <v>9250183.6698863581</v>
      </c>
      <c r="F90" s="757">
        <f>+C$29*E90+D90</f>
        <v>2168732.5532070789</v>
      </c>
      <c r="G90" s="775">
        <f>+G89</f>
        <v>2490576.1152272704</v>
      </c>
      <c r="H90" s="775">
        <f>+H89</f>
        <v>115840.74954545456</v>
      </c>
      <c r="I90" s="775">
        <f t="shared" si="7"/>
        <v>2374735.3656818159</v>
      </c>
      <c r="J90" s="757">
        <f>+G$29*I90+H90</f>
        <v>558159.3075831664</v>
      </c>
      <c r="K90" s="776">
        <f>+K89</f>
        <v>6337460.0435795402</v>
      </c>
      <c r="L90" s="775">
        <f>+L89</f>
        <v>305419.76113636367</v>
      </c>
      <c r="M90" s="775">
        <f t="shared" si="8"/>
        <v>6032040.282443177</v>
      </c>
      <c r="N90" s="757">
        <f>+K$29*M90+L90</f>
        <v>1428948.4701930119</v>
      </c>
      <c r="O90" s="776">
        <f>+O89</f>
        <v>2724389.2651515119</v>
      </c>
      <c r="P90" s="775">
        <f>+P89</f>
        <v>119316.31818181818</v>
      </c>
      <c r="Q90" s="775">
        <f t="shared" si="11"/>
        <v>2605072.9469696935</v>
      </c>
      <c r="R90" s="757">
        <f>+O$29*Q90+P90</f>
        <v>604537.58794458839</v>
      </c>
      <c r="S90" s="661">
        <f>+S89</f>
        <v>1234349.0987878758</v>
      </c>
      <c r="T90" s="630">
        <f>+T89</f>
        <v>58315.705454545445</v>
      </c>
      <c r="U90" s="630">
        <f t="shared" si="12"/>
        <v>1176033.3933333303</v>
      </c>
      <c r="V90" s="662">
        <f>+S$29*U90+T90</f>
        <v>277363.85804482165</v>
      </c>
      <c r="W90" s="661">
        <f>+W89</f>
        <v>15830204.178030308</v>
      </c>
      <c r="X90" s="630">
        <f>+X89</f>
        <v>693293.61363636365</v>
      </c>
      <c r="Y90" s="630">
        <f t="shared" si="13"/>
        <v>15136910.564393945</v>
      </c>
      <c r="Z90" s="662">
        <f>+W$29*Y90+X90</f>
        <v>3512696.7988271578</v>
      </c>
      <c r="AA90" s="661">
        <f>+AA89</f>
        <v>10331596.354166666</v>
      </c>
      <c r="AB90" s="630">
        <f>+AB89</f>
        <v>450833.29545454547</v>
      </c>
      <c r="AC90" s="630">
        <f t="shared" si="14"/>
        <v>9880763.0587121211</v>
      </c>
      <c r="AD90" s="662">
        <f>+AA$29*AC90+AB90</f>
        <v>2291225.6741594574</v>
      </c>
      <c r="AE90" s="661">
        <f>+AE89</f>
        <v>103452.44318181831</v>
      </c>
      <c r="AF90" s="630">
        <f>+AF89</f>
        <v>4597.886363636364</v>
      </c>
      <c r="AG90" s="630">
        <f t="shared" si="15"/>
        <v>98854.55681818194</v>
      </c>
      <c r="AH90" s="662">
        <f>+AE$29*AG90+AF90</f>
        <v>23010.550637375869</v>
      </c>
      <c r="AI90" s="661">
        <f>+AI89</f>
        <v>7043880.4583333358</v>
      </c>
      <c r="AJ90" s="630">
        <f>+AJ89</f>
        <v>295547.43181818182</v>
      </c>
      <c r="AK90" s="630">
        <f t="shared" si="19"/>
        <v>6748333.0265151542</v>
      </c>
      <c r="AL90" s="662">
        <f>+AI$29*AK90+AJ90</f>
        <v>1552492.9326022009</v>
      </c>
      <c r="AM90" s="661">
        <f>+AM89</f>
        <v>2605372.5185227278</v>
      </c>
      <c r="AN90" s="630">
        <f>+AN89</f>
        <v>110866.91568181818</v>
      </c>
      <c r="AO90" s="630">
        <f t="shared" si="16"/>
        <v>2494505.6028409097</v>
      </c>
      <c r="AP90" s="662">
        <f>+AM$29*AO90+AN90</f>
        <v>575493.89568588033</v>
      </c>
      <c r="AQ90" s="661">
        <f>+AQ89</f>
        <v>21492140.63522727</v>
      </c>
      <c r="AR90" s="630">
        <f>+AR89</f>
        <v>904932.23727272719</v>
      </c>
      <c r="AS90" s="630">
        <f t="shared" si="17"/>
        <v>20587208.397954542</v>
      </c>
      <c r="AT90" s="662">
        <f>+AQ$29*AS90+AR90</f>
        <v>4739508.6975389216</v>
      </c>
      <c r="AU90" s="775"/>
      <c r="AV90" s="775"/>
      <c r="AW90" s="775"/>
      <c r="AX90" s="757"/>
      <c r="AY90" s="775"/>
      <c r="AZ90" s="775"/>
      <c r="BA90" s="775"/>
      <c r="BB90" s="757"/>
      <c r="BC90" s="775"/>
      <c r="BD90" s="775"/>
      <c r="BE90" s="775"/>
      <c r="BF90" s="757"/>
      <c r="BG90" s="775"/>
      <c r="BH90" s="775"/>
      <c r="BI90" s="775"/>
      <c r="BJ90" s="757"/>
      <c r="BK90" s="775"/>
      <c r="BL90" s="775"/>
      <c r="BM90" s="775"/>
      <c r="BN90" s="757"/>
      <c r="BO90" s="775"/>
      <c r="BP90" s="775"/>
      <c r="BQ90" s="775"/>
      <c r="BR90" s="757"/>
      <c r="BS90" s="661">
        <f>+BS89</f>
        <v>199461.27272727294</v>
      </c>
      <c r="BT90" s="630">
        <f>+BT89</f>
        <v>8310.886363636364</v>
      </c>
      <c r="BU90" s="630">
        <f t="shared" si="18"/>
        <v>191150.38636363659</v>
      </c>
      <c r="BV90" s="662">
        <f>+BS$29*BU90+BT90</f>
        <v>43914.585405883146</v>
      </c>
      <c r="BW90" s="661">
        <f>+BW89</f>
        <v>13988399.761363648</v>
      </c>
      <c r="BX90" s="630">
        <f>+BX89</f>
        <v>576841.22727272729</v>
      </c>
      <c r="BY90" s="630">
        <f t="shared" si="20"/>
        <v>13411558.534090921</v>
      </c>
      <c r="BZ90" s="662">
        <f>+BW$29*BY90+BX90</f>
        <v>2968209.7292031813</v>
      </c>
      <c r="CA90" s="661">
        <f>+CA89</f>
        <v>1320022.5600000015</v>
      </c>
      <c r="CB90" s="630">
        <f>+CB89</f>
        <v>54433.919999999998</v>
      </c>
      <c r="CC90" s="630">
        <f t="shared" si="21"/>
        <v>1265588.6400000015</v>
      </c>
      <c r="CD90" s="662">
        <f>+CA$29*CC90+CB90</f>
        <v>290162.64598921599</v>
      </c>
      <c r="CE90" s="661">
        <f>+CE89</f>
        <v>114581.95545454559</v>
      </c>
      <c r="CF90" s="630">
        <f>+CF89</f>
        <v>4725.0290909090909</v>
      </c>
      <c r="CG90" s="630">
        <f t="shared" si="22"/>
        <v>109856.92636363651</v>
      </c>
      <c r="CH90" s="662">
        <f>+CE$29*CG90+CF90</f>
        <v>25186.996332327377</v>
      </c>
      <c r="CI90" s="661">
        <f>+CI89</f>
        <v>312158.8636363633</v>
      </c>
      <c r="CJ90" s="630">
        <f>+CJ89</f>
        <v>12362.727272727272</v>
      </c>
      <c r="CK90" s="630">
        <f t="shared" si="24"/>
        <v>299796.136363636</v>
      </c>
      <c r="CL90" s="662">
        <f>+CI$29*CK90+CJ90</f>
        <v>65818.336900653463</v>
      </c>
      <c r="CM90" s="661">
        <f>+CM89</f>
        <v>14147980.729261369</v>
      </c>
      <c r="CN90" s="630">
        <f>+CN89</f>
        <v>483691.64886363636</v>
      </c>
      <c r="CO90" s="630">
        <f t="shared" si="35"/>
        <v>13664289.080397733</v>
      </c>
      <c r="CP90" s="662">
        <f>+CM$29*CO90+CN90</f>
        <v>2920123.658243842</v>
      </c>
      <c r="CQ90" s="661">
        <f>+CQ89</f>
        <v>60027644.938465878</v>
      </c>
      <c r="CR90" s="630">
        <f>+CR89</f>
        <v>2017735.9643181816</v>
      </c>
      <c r="CS90" s="630">
        <f t="shared" si="40"/>
        <v>58009908.9741477</v>
      </c>
      <c r="CT90" s="662">
        <f>+CQ$29*CS90+CR90</f>
        <v>12361281.702720515</v>
      </c>
      <c r="CU90" s="661">
        <f>+CU89</f>
        <v>20285861.175000019</v>
      </c>
      <c r="CV90" s="630">
        <f>+CV89</f>
        <v>676195.37250000006</v>
      </c>
      <c r="CW90" s="630">
        <f t="shared" si="41"/>
        <v>19609665.802500021</v>
      </c>
      <c r="CX90" s="662">
        <f>+CU$29*CW90+CV90</f>
        <v>4172726.8915088722</v>
      </c>
      <c r="CY90" s="782">
        <f t="shared" si="25"/>
        <v>21125462.620254926</v>
      </c>
      <c r="CZ90" s="779">
        <f>+CY90</f>
        <v>21125462.620254926</v>
      </c>
      <c r="DA90" s="752"/>
      <c r="DD90" s="661"/>
      <c r="DE90" s="630"/>
      <c r="DF90" s="630"/>
      <c r="DG90" s="662"/>
      <c r="DH90" s="661"/>
      <c r="DI90" s="630"/>
      <c r="DJ90" s="630"/>
      <c r="DK90" s="662"/>
      <c r="DL90" s="661"/>
      <c r="DM90" s="630"/>
      <c r="DN90" s="630"/>
      <c r="DO90" s="662"/>
      <c r="DP90" s="661"/>
      <c r="DQ90" s="630"/>
      <c r="DR90" s="630"/>
      <c r="DS90" s="662"/>
      <c r="DT90" s="661"/>
      <c r="DU90" s="630"/>
      <c r="DV90" s="630"/>
      <c r="DW90" s="662"/>
      <c r="DX90" s="661"/>
      <c r="DY90" s="630"/>
      <c r="DZ90" s="630"/>
      <c r="EA90" s="662"/>
      <c r="EB90" s="661"/>
      <c r="EC90" s="630"/>
      <c r="ED90" s="630"/>
      <c r="EE90" s="662"/>
      <c r="EF90" s="661"/>
      <c r="EG90" s="630"/>
      <c r="EH90" s="630"/>
      <c r="EI90" s="662"/>
      <c r="EJ90" s="661"/>
      <c r="EK90" s="630"/>
      <c r="EL90" s="630"/>
      <c r="EM90" s="662"/>
      <c r="EN90" s="661"/>
      <c r="EO90" s="630"/>
      <c r="EP90" s="630"/>
      <c r="EQ90" s="662"/>
      <c r="ER90" s="661"/>
      <c r="ES90" s="630"/>
      <c r="ET90" s="630"/>
      <c r="EU90" s="662"/>
      <c r="EW90" s="661"/>
      <c r="EX90" s="630"/>
      <c r="EY90" s="630"/>
      <c r="EZ90" s="662"/>
      <c r="FA90" s="661"/>
      <c r="FB90" s="630"/>
      <c r="FC90" s="630"/>
      <c r="FD90" s="662"/>
    </row>
    <row r="91" spans="1:160">
      <c r="A91" s="753" t="s">
        <v>24</v>
      </c>
      <c r="B91" s="774">
        <v>2032</v>
      </c>
      <c r="C91" s="775">
        <f>+E90</f>
        <v>9250183.6698863581</v>
      </c>
      <c r="D91" s="775">
        <f>+C$31</f>
        <v>445791.98409090913</v>
      </c>
      <c r="E91" s="775">
        <f t="shared" si="6"/>
        <v>8804391.6857954487</v>
      </c>
      <c r="F91" s="757">
        <f>+C$28*E91+D91</f>
        <v>2015672.5391771009</v>
      </c>
      <c r="G91" s="775">
        <f>+I90</f>
        <v>2374735.3656818159</v>
      </c>
      <c r="H91" s="775">
        <f>+G$31</f>
        <v>115840.74954545456</v>
      </c>
      <c r="I91" s="775">
        <f t="shared" si="7"/>
        <v>2258894.6161363614</v>
      </c>
      <c r="J91" s="757">
        <f>+G$28*I91+H91</f>
        <v>518616.41655520478</v>
      </c>
      <c r="K91" s="776">
        <f>+M90</f>
        <v>6032040.282443177</v>
      </c>
      <c r="L91" s="775">
        <f>+K$31</f>
        <v>305419.76113636367</v>
      </c>
      <c r="M91" s="775">
        <f t="shared" si="8"/>
        <v>5726620.5213068137</v>
      </c>
      <c r="N91" s="757">
        <f>+K$28*M91+L91</f>
        <v>1326513.6110682446</v>
      </c>
      <c r="O91" s="776">
        <f>+Q90</f>
        <v>2605072.9469696935</v>
      </c>
      <c r="P91" s="775">
        <f>+O$31</f>
        <v>119316.31818181818</v>
      </c>
      <c r="Q91" s="775">
        <f t="shared" si="11"/>
        <v>2485756.6287878752</v>
      </c>
      <c r="R91" s="757">
        <f>+O$28*Q91+P91</f>
        <v>562542.96409609821</v>
      </c>
      <c r="S91" s="661">
        <f>+U90</f>
        <v>1176033.3933333303</v>
      </c>
      <c r="T91" s="630">
        <f>+S$31</f>
        <v>58315.705454545445</v>
      </c>
      <c r="U91" s="630">
        <f t="shared" si="12"/>
        <v>1117717.6878787847</v>
      </c>
      <c r="V91" s="662">
        <f>+S$28*U91+T91</f>
        <v>257612.07105215019</v>
      </c>
      <c r="W91" s="661">
        <f>+Y90</f>
        <v>15136910.564393945</v>
      </c>
      <c r="X91" s="630">
        <f>+W$31</f>
        <v>693293.61363636365</v>
      </c>
      <c r="Y91" s="630">
        <f t="shared" si="13"/>
        <v>14443616.950757582</v>
      </c>
      <c r="Z91" s="662">
        <f>+W$28*Y91+X91</f>
        <v>3268684.8735106736</v>
      </c>
      <c r="AA91" s="661">
        <f>+AC90</f>
        <v>9880763.0587121211</v>
      </c>
      <c r="AB91" s="630">
        <f>+AA$31</f>
        <v>450833.29545454547</v>
      </c>
      <c r="AC91" s="630">
        <f t="shared" si="14"/>
        <v>9429929.7632575762</v>
      </c>
      <c r="AD91" s="662">
        <f>+AA$28*AC91+AB91</f>
        <v>2132251.3762800945</v>
      </c>
      <c r="AE91" s="661">
        <f>+AG90</f>
        <v>98854.55681818194</v>
      </c>
      <c r="AF91" s="630">
        <f>+AE$31</f>
        <v>4597.886363636364</v>
      </c>
      <c r="AG91" s="630">
        <f t="shared" si="15"/>
        <v>94256.670454545572</v>
      </c>
      <c r="AH91" s="662">
        <f>+AE$28*AG91+AF91</f>
        <v>21404.466467573377</v>
      </c>
      <c r="AI91" s="661">
        <f>+AK90</f>
        <v>6748333.0265151542</v>
      </c>
      <c r="AJ91" s="630">
        <f>+AI$31</f>
        <v>295547.43181818182</v>
      </c>
      <c r="AK91" s="630">
        <f t="shared" si="19"/>
        <v>6452785.5946969725</v>
      </c>
      <c r="AL91" s="662">
        <f>+AI$28*AK91+AJ91</f>
        <v>1446121.2582414714</v>
      </c>
      <c r="AM91" s="661">
        <f>+AO90</f>
        <v>2494505.6028409097</v>
      </c>
      <c r="AN91" s="630">
        <f>+AM$31</f>
        <v>110866.91568181818</v>
      </c>
      <c r="AO91" s="630">
        <f t="shared" si="16"/>
        <v>2383638.6871590917</v>
      </c>
      <c r="AP91" s="662">
        <f>+AM$28*AO91+AN91</f>
        <v>535885.26548552257</v>
      </c>
      <c r="AQ91" s="661">
        <f>+AS90</f>
        <v>20587208.397954542</v>
      </c>
      <c r="AR91" s="630">
        <f>+AQ$31</f>
        <v>904932.23727272719</v>
      </c>
      <c r="AS91" s="630">
        <f t="shared" si="17"/>
        <v>19682276.160681814</v>
      </c>
      <c r="AT91" s="662">
        <f>+AQ$28*AS91+AR91</f>
        <v>4414410.6574958358</v>
      </c>
      <c r="AU91" s="775"/>
      <c r="AV91" s="775"/>
      <c r="AW91" s="775"/>
      <c r="AX91" s="757"/>
      <c r="AY91" s="775"/>
      <c r="AZ91" s="775"/>
      <c r="BA91" s="775"/>
      <c r="BB91" s="757"/>
      <c r="BC91" s="775"/>
      <c r="BD91" s="775"/>
      <c r="BE91" s="775"/>
      <c r="BF91" s="757"/>
      <c r="BG91" s="775"/>
      <c r="BH91" s="775"/>
      <c r="BI91" s="775"/>
      <c r="BJ91" s="757"/>
      <c r="BK91" s="775"/>
      <c r="BL91" s="775"/>
      <c r="BM91" s="775"/>
      <c r="BN91" s="757"/>
      <c r="BO91" s="775"/>
      <c r="BP91" s="775"/>
      <c r="BQ91" s="775"/>
      <c r="BR91" s="757"/>
      <c r="BS91" s="661">
        <f>+BU90</f>
        <v>191150.38636363659</v>
      </c>
      <c r="BT91" s="630">
        <f>+BS$31</f>
        <v>8310.886363636364</v>
      </c>
      <c r="BU91" s="630">
        <f t="shared" si="18"/>
        <v>182839.50000000023</v>
      </c>
      <c r="BV91" s="662">
        <f>+BS$28*BU91+BT91</f>
        <v>40912.36367123633</v>
      </c>
      <c r="BW91" s="661">
        <f>+BY90</f>
        <v>13411558.534090921</v>
      </c>
      <c r="BX91" s="630">
        <f>+BW$31</f>
        <v>576841.22727272729</v>
      </c>
      <c r="BY91" s="630">
        <f t="shared" si="20"/>
        <v>12834717.306818195</v>
      </c>
      <c r="BZ91" s="662">
        <f>+BW$28*BY91+BX91</f>
        <v>2865355.1699803667</v>
      </c>
      <c r="CA91" s="661">
        <f>+CC90</f>
        <v>1265588.6400000015</v>
      </c>
      <c r="CB91" s="630">
        <f>+CA$31</f>
        <v>54433.919999999998</v>
      </c>
      <c r="CC91" s="630">
        <f t="shared" si="21"/>
        <v>1211154.7200000016</v>
      </c>
      <c r="CD91" s="662">
        <f>+CA$28*CC91+CB91</f>
        <v>270390.7188321593</v>
      </c>
      <c r="CE91" s="661">
        <f>+CG90</f>
        <v>109856.92636363651</v>
      </c>
      <c r="CF91" s="630">
        <f>+CE$31</f>
        <v>4725.0290909090909</v>
      </c>
      <c r="CG91" s="630">
        <f t="shared" si="22"/>
        <v>105131.89727272742</v>
      </c>
      <c r="CH91" s="662">
        <f>+CE$28*CG91+CF91</f>
        <v>23470.733182430613</v>
      </c>
      <c r="CI91" s="661">
        <f>+CK90</f>
        <v>299796.136363636</v>
      </c>
      <c r="CJ91" s="630">
        <f>+CI$31</f>
        <v>12362.727272727272</v>
      </c>
      <c r="CK91" s="630">
        <f t="shared" si="24"/>
        <v>287433.40909090871</v>
      </c>
      <c r="CL91" s="662">
        <f>+CI$28*CK91+CJ91</f>
        <v>63613.981864450318</v>
      </c>
      <c r="CM91" s="661">
        <f>+CO90</f>
        <v>13664289.080397733</v>
      </c>
      <c r="CN91" s="630">
        <f>+CM$31</f>
        <v>483691.64886363636</v>
      </c>
      <c r="CO91" s="630">
        <f t="shared" si="35"/>
        <v>13180597.431534097</v>
      </c>
      <c r="CP91" s="662">
        <f>+CM$28*CO91+CN91</f>
        <v>2833878.277380826</v>
      </c>
      <c r="CQ91" s="661">
        <f>+CS90</f>
        <v>58009908.9741477</v>
      </c>
      <c r="CR91" s="630">
        <f>+CQ$31</f>
        <v>2017735.9643181816</v>
      </c>
      <c r="CS91" s="630">
        <f t="shared" si="40"/>
        <v>55992173.009829521</v>
      </c>
      <c r="CT91" s="662">
        <f>+CQ$28*CS91+CR91</f>
        <v>12001506.198776087</v>
      </c>
      <c r="CU91" s="661">
        <f>+CW90</f>
        <v>19609665.802500021</v>
      </c>
      <c r="CV91" s="630">
        <f>+CU$31</f>
        <v>676195.37250000006</v>
      </c>
      <c r="CW91" s="630">
        <f t="shared" si="41"/>
        <v>18933470.430000022</v>
      </c>
      <c r="CX91" s="662">
        <f>+CU$28*CW91+CV91</f>
        <v>4052156.8391292561</v>
      </c>
      <c r="CY91" s="782">
        <f t="shared" si="25"/>
        <v>19763458.466960609</v>
      </c>
      <c r="CZ91" s="756"/>
      <c r="DA91" s="778">
        <f>+CY91</f>
        <v>19763458.466960609</v>
      </c>
      <c r="DD91" s="661"/>
      <c r="DE91" s="630"/>
      <c r="DF91" s="630"/>
      <c r="DG91" s="662"/>
      <c r="DH91" s="661"/>
      <c r="DI91" s="630"/>
      <c r="DJ91" s="630"/>
      <c r="DK91" s="662"/>
      <c r="DL91" s="661"/>
      <c r="DM91" s="630"/>
      <c r="DN91" s="630"/>
      <c r="DO91" s="662"/>
      <c r="DP91" s="661"/>
      <c r="DQ91" s="630"/>
      <c r="DR91" s="630"/>
      <c r="DS91" s="662"/>
      <c r="DT91" s="661"/>
      <c r="DU91" s="630"/>
      <c r="DV91" s="630"/>
      <c r="DW91" s="662"/>
      <c r="DX91" s="661"/>
      <c r="DY91" s="630"/>
      <c r="DZ91" s="630"/>
      <c r="EA91" s="662"/>
      <c r="EB91" s="661"/>
      <c r="EC91" s="630"/>
      <c r="ED91" s="630"/>
      <c r="EE91" s="662"/>
      <c r="EF91" s="661"/>
      <c r="EG91" s="630"/>
      <c r="EH91" s="630"/>
      <c r="EI91" s="662"/>
      <c r="EJ91" s="661"/>
      <c r="EK91" s="630"/>
      <c r="EL91" s="630"/>
      <c r="EM91" s="662"/>
      <c r="EN91" s="661"/>
      <c r="EO91" s="630"/>
      <c r="EP91" s="630"/>
      <c r="EQ91" s="662"/>
      <c r="ER91" s="661"/>
      <c r="ES91" s="630"/>
      <c r="ET91" s="630"/>
      <c r="EU91" s="662"/>
      <c r="EW91" s="661"/>
      <c r="EX91" s="630"/>
      <c r="EY91" s="630"/>
      <c r="EZ91" s="662"/>
      <c r="FA91" s="661"/>
      <c r="FB91" s="630"/>
      <c r="FC91" s="630"/>
      <c r="FD91" s="662"/>
    </row>
    <row r="92" spans="1:160">
      <c r="A92" s="753" t="s">
        <v>23</v>
      </c>
      <c r="B92" s="774">
        <v>2032</v>
      </c>
      <c r="C92" s="775">
        <f>+C91</f>
        <v>9250183.6698863581</v>
      </c>
      <c r="D92" s="775">
        <f>+D91</f>
        <v>445791.98409090913</v>
      </c>
      <c r="E92" s="775">
        <f t="shared" si="6"/>
        <v>8804391.6857954487</v>
      </c>
      <c r="F92" s="757">
        <f>+C$29*E92+D92</f>
        <v>2085699.2727677452</v>
      </c>
      <c r="G92" s="775">
        <f>+G91</f>
        <v>2374735.3656818159</v>
      </c>
      <c r="H92" s="775">
        <f>+H91</f>
        <v>115840.74954545456</v>
      </c>
      <c r="I92" s="775">
        <f t="shared" si="7"/>
        <v>2258894.6161363614</v>
      </c>
      <c r="J92" s="757">
        <f>+G$29*I92+H92</f>
        <v>536582.7925569365</v>
      </c>
      <c r="K92" s="776">
        <f>+K91</f>
        <v>6032040.282443177</v>
      </c>
      <c r="L92" s="775">
        <f>+L91</f>
        <v>305419.76113636367</v>
      </c>
      <c r="M92" s="775">
        <f t="shared" si="8"/>
        <v>5726620.5213068137</v>
      </c>
      <c r="N92" s="757">
        <f>+K$29*M92+L92</f>
        <v>1372060.9406205234</v>
      </c>
      <c r="O92" s="776">
        <f>+O91</f>
        <v>2605072.9469696935</v>
      </c>
      <c r="P92" s="775">
        <f>+P91</f>
        <v>119316.31818181818</v>
      </c>
      <c r="Q92" s="775">
        <f t="shared" si="11"/>
        <v>2485756.6287878752</v>
      </c>
      <c r="R92" s="757">
        <f>+O$29*Q92+P92</f>
        <v>582313.71299362183</v>
      </c>
      <c r="S92" s="661">
        <f>+S91</f>
        <v>1176033.3933333303</v>
      </c>
      <c r="T92" s="630">
        <f>+T91</f>
        <v>58315.705454545445</v>
      </c>
      <c r="U92" s="630">
        <f t="shared" si="12"/>
        <v>1117717.6878787847</v>
      </c>
      <c r="V92" s="662">
        <f>+S$29*U92+T92</f>
        <v>266501.96618084097</v>
      </c>
      <c r="W92" s="661">
        <f>+W91</f>
        <v>15136910.564393945</v>
      </c>
      <c r="X92" s="630">
        <f>+X91</f>
        <v>693293.61363636365</v>
      </c>
      <c r="Y92" s="630">
        <f t="shared" si="13"/>
        <v>14443616.950757582</v>
      </c>
      <c r="Z92" s="662">
        <f>+W$29*Y92+X92</f>
        <v>3383563.8285130756</v>
      </c>
      <c r="AA92" s="661">
        <f>+AA91</f>
        <v>9880763.0587121211</v>
      </c>
      <c r="AB92" s="630">
        <f>+AB91</f>
        <v>450833.29545454547</v>
      </c>
      <c r="AC92" s="630">
        <f t="shared" si="14"/>
        <v>9429929.7632575762</v>
      </c>
      <c r="AD92" s="662">
        <f>+AA$29*AC92+AB92</f>
        <v>2207253.398325013</v>
      </c>
      <c r="AE92" s="661">
        <f>+AE91</f>
        <v>98854.55681818194</v>
      </c>
      <c r="AF92" s="630">
        <f>+AF91</f>
        <v>4597.886363636364</v>
      </c>
      <c r="AG92" s="630">
        <f t="shared" si="15"/>
        <v>94256.670454545572</v>
      </c>
      <c r="AH92" s="662">
        <f>+AE$29*AG92+AF92</f>
        <v>22154.147647899612</v>
      </c>
      <c r="AI92" s="661">
        <f>+AI91</f>
        <v>6748333.0265151542</v>
      </c>
      <c r="AJ92" s="630">
        <f>+AJ91</f>
        <v>295547.43181818182</v>
      </c>
      <c r="AK92" s="630">
        <f t="shared" si="19"/>
        <v>6452785.5946969725</v>
      </c>
      <c r="AL92" s="662">
        <f>+AI$29*AK92+AJ92</f>
        <v>1497444.2245386674</v>
      </c>
      <c r="AM92" s="661">
        <f>+AM91</f>
        <v>2494505.6028409097</v>
      </c>
      <c r="AN92" s="630">
        <f>+AN91</f>
        <v>110866.91568181818</v>
      </c>
      <c r="AO92" s="630">
        <f t="shared" si="16"/>
        <v>2383638.6871590917</v>
      </c>
      <c r="AP92" s="662">
        <f>+AM$29*AO92+AN92</f>
        <v>554843.80768569978</v>
      </c>
      <c r="AQ92" s="661">
        <f>+AQ91</f>
        <v>20587208.397954542</v>
      </c>
      <c r="AR92" s="630">
        <f>+AR91</f>
        <v>904932.23727272719</v>
      </c>
      <c r="AS92" s="630">
        <f t="shared" si="17"/>
        <v>19682276.160681814</v>
      </c>
      <c r="AT92" s="662">
        <f>+AQ$29*AS92+AR92</f>
        <v>4570955.8860986494</v>
      </c>
      <c r="AU92" s="775"/>
      <c r="AV92" s="775"/>
      <c r="AW92" s="775"/>
      <c r="AX92" s="757"/>
      <c r="AY92" s="775"/>
      <c r="AZ92" s="775"/>
      <c r="BA92" s="775"/>
      <c r="BB92" s="757"/>
      <c r="BC92" s="775"/>
      <c r="BD92" s="775"/>
      <c r="BE92" s="775"/>
      <c r="BF92" s="757"/>
      <c r="BG92" s="775"/>
      <c r="BH92" s="775"/>
      <c r="BI92" s="775"/>
      <c r="BJ92" s="757"/>
      <c r="BK92" s="775"/>
      <c r="BL92" s="775"/>
      <c r="BM92" s="775"/>
      <c r="BN92" s="757"/>
      <c r="BO92" s="775"/>
      <c r="BP92" s="775"/>
      <c r="BQ92" s="775"/>
      <c r="BR92" s="757"/>
      <c r="BS92" s="661">
        <f>+BS91</f>
        <v>191150.38636363659</v>
      </c>
      <c r="BT92" s="630">
        <f>+BT91</f>
        <v>8310.886363636364</v>
      </c>
      <c r="BU92" s="630">
        <f t="shared" si="18"/>
        <v>182839.50000000023</v>
      </c>
      <c r="BV92" s="662">
        <f>+BS$29*BU92+BT92</f>
        <v>42366.598491002849</v>
      </c>
      <c r="BW92" s="661">
        <f>+BW91</f>
        <v>13411558.534090921</v>
      </c>
      <c r="BX92" s="630">
        <f>+BX91</f>
        <v>576841.22727272729</v>
      </c>
      <c r="BY92" s="630">
        <f t="shared" si="20"/>
        <v>12834717.306818195</v>
      </c>
      <c r="BZ92" s="662">
        <f>+BW$29*BY92+BX92</f>
        <v>2865355.1699803667</v>
      </c>
      <c r="CA92" s="661">
        <f>+CA91</f>
        <v>1265588.6400000015</v>
      </c>
      <c r="CB92" s="630">
        <f>+CB91</f>
        <v>54433.919999999998</v>
      </c>
      <c r="CC92" s="630">
        <f t="shared" si="21"/>
        <v>1211154.7200000016</v>
      </c>
      <c r="CD92" s="662">
        <f>+CA$29*CC92+CB92</f>
        <v>280023.776054196</v>
      </c>
      <c r="CE92" s="661">
        <f>+CE91</f>
        <v>109856.92636363651</v>
      </c>
      <c r="CF92" s="630">
        <f>+CF91</f>
        <v>4725.0290909090909</v>
      </c>
      <c r="CG92" s="630">
        <f t="shared" si="22"/>
        <v>105131.89727272742</v>
      </c>
      <c r="CH92" s="662">
        <f>+CE$29*CG92+CF92</f>
        <v>24306.911719793257</v>
      </c>
      <c r="CI92" s="661">
        <f>+CI91</f>
        <v>299796.136363636</v>
      </c>
      <c r="CJ92" s="630">
        <f>+CJ91</f>
        <v>12362.727272727272</v>
      </c>
      <c r="CK92" s="630">
        <f t="shared" si="24"/>
        <v>287433.40909090871</v>
      </c>
      <c r="CL92" s="662">
        <f>+CI$29*CK92+CJ92</f>
        <v>63613.981864450318</v>
      </c>
      <c r="CM92" s="661">
        <f>+CM91</f>
        <v>13664289.080397733</v>
      </c>
      <c r="CN92" s="630">
        <f>+CN91</f>
        <v>483691.64886363636</v>
      </c>
      <c r="CO92" s="630">
        <f t="shared" si="35"/>
        <v>13180597.431534097</v>
      </c>
      <c r="CP92" s="662">
        <f>+CM$29*CO92+CN92</f>
        <v>2833878.277380826</v>
      </c>
      <c r="CQ92" s="661">
        <f>+CQ91</f>
        <v>58009908.9741477</v>
      </c>
      <c r="CR92" s="630">
        <f>+CR91</f>
        <v>2017735.9643181816</v>
      </c>
      <c r="CS92" s="630">
        <f t="shared" si="40"/>
        <v>55992173.009829521</v>
      </c>
      <c r="CT92" s="662">
        <f>+CQ$29*CS92+CR92</f>
        <v>12001506.198776087</v>
      </c>
      <c r="CU92" s="661">
        <f>+CU91</f>
        <v>19609665.802500021</v>
      </c>
      <c r="CV92" s="630">
        <f>+CV91</f>
        <v>676195.37250000006</v>
      </c>
      <c r="CW92" s="630">
        <f t="shared" si="41"/>
        <v>18933470.430000022</v>
      </c>
      <c r="CX92" s="662">
        <f>+CU$29*CW92+CV92</f>
        <v>4052156.8391292561</v>
      </c>
      <c r="CY92" s="782">
        <f t="shared" si="25"/>
        <v>20355040.416038476</v>
      </c>
      <c r="CZ92" s="779">
        <f>+CY92</f>
        <v>20355040.416038476</v>
      </c>
      <c r="DA92" s="752"/>
      <c r="DD92" s="661"/>
      <c r="DE92" s="630"/>
      <c r="DF92" s="630"/>
      <c r="DG92" s="662"/>
      <c r="DH92" s="661"/>
      <c r="DI92" s="630"/>
      <c r="DJ92" s="630"/>
      <c r="DK92" s="662"/>
      <c r="DL92" s="661"/>
      <c r="DM92" s="630"/>
      <c r="DN92" s="630"/>
      <c r="DO92" s="662"/>
      <c r="DP92" s="661"/>
      <c r="DQ92" s="630"/>
      <c r="DR92" s="630"/>
      <c r="DS92" s="662"/>
      <c r="DT92" s="661"/>
      <c r="DU92" s="630"/>
      <c r="DV92" s="630"/>
      <c r="DW92" s="662"/>
      <c r="DX92" s="661"/>
      <c r="DY92" s="630"/>
      <c r="DZ92" s="630"/>
      <c r="EA92" s="662"/>
      <c r="EB92" s="661"/>
      <c r="EC92" s="630"/>
      <c r="ED92" s="630"/>
      <c r="EE92" s="662"/>
      <c r="EF92" s="661"/>
      <c r="EG92" s="630"/>
      <c r="EH92" s="630"/>
      <c r="EI92" s="662"/>
      <c r="EJ92" s="661"/>
      <c r="EK92" s="630"/>
      <c r="EL92" s="630"/>
      <c r="EM92" s="662"/>
      <c r="EN92" s="661"/>
      <c r="EO92" s="630"/>
      <c r="EP92" s="630"/>
      <c r="EQ92" s="662"/>
      <c r="ER92" s="661"/>
      <c r="ES92" s="630"/>
      <c r="ET92" s="630"/>
      <c r="EU92" s="662"/>
      <c r="EW92" s="661"/>
      <c r="EX92" s="630"/>
      <c r="EY92" s="630"/>
      <c r="EZ92" s="662"/>
      <c r="FA92" s="661"/>
      <c r="FB92" s="630"/>
      <c r="FC92" s="630"/>
      <c r="FD92" s="662"/>
    </row>
    <row r="93" spans="1:160">
      <c r="A93" s="753" t="s">
        <v>24</v>
      </c>
      <c r="B93" s="774">
        <v>2033</v>
      </c>
      <c r="C93" s="775">
        <f>+E92</f>
        <v>8804391.6857954487</v>
      </c>
      <c r="D93" s="775">
        <f>+C$31</f>
        <v>445791.98409090913</v>
      </c>
      <c r="E93" s="775">
        <f t="shared" si="6"/>
        <v>8358599.7017045394</v>
      </c>
      <c r="F93" s="757">
        <f>+C$28*E93+D93</f>
        <v>1936184.9161347619</v>
      </c>
      <c r="G93" s="775">
        <f>+I92</f>
        <v>2258894.6161363614</v>
      </c>
      <c r="H93" s="775">
        <f>+G$31</f>
        <v>115840.74954545456</v>
      </c>
      <c r="I93" s="775">
        <f t="shared" si="7"/>
        <v>2143053.8665909069</v>
      </c>
      <c r="J93" s="757">
        <f>+G$28*I93+H93</f>
        <v>497961.25414444838</v>
      </c>
      <c r="K93" s="776">
        <f>+M92</f>
        <v>5726620.5213068137</v>
      </c>
      <c r="L93" s="775">
        <f>+K$31</f>
        <v>305419.76113636367</v>
      </c>
      <c r="M93" s="775">
        <f t="shared" si="8"/>
        <v>5421200.7601704504</v>
      </c>
      <c r="N93" s="757">
        <f>+K$28*M93+L93</f>
        <v>1272055.2724052109</v>
      </c>
      <c r="O93" s="776">
        <f>+Q92</f>
        <v>2485756.6287878752</v>
      </c>
      <c r="P93" s="775">
        <f>+O$31</f>
        <v>119316.31818181818</v>
      </c>
      <c r="Q93" s="775">
        <f t="shared" si="11"/>
        <v>2366440.3106060568</v>
      </c>
      <c r="R93" s="757">
        <f>+O$28*Q93+P93</f>
        <v>541268.08509221266</v>
      </c>
      <c r="S93" s="661">
        <f>+U92</f>
        <v>1117717.6878787847</v>
      </c>
      <c r="T93" s="630">
        <f>+S$31</f>
        <v>58315.705454545445</v>
      </c>
      <c r="U93" s="630">
        <f t="shared" si="12"/>
        <v>1059401.9824242392</v>
      </c>
      <c r="V93" s="662">
        <f>+S$28*U93+T93</f>
        <v>247213.99980357947</v>
      </c>
      <c r="W93" s="661">
        <f>+Y92</f>
        <v>14443616.950757582</v>
      </c>
      <c r="X93" s="630">
        <f>+W$31</f>
        <v>693293.61363636365</v>
      </c>
      <c r="Y93" s="630">
        <f t="shared" si="13"/>
        <v>13750323.337121218</v>
      </c>
      <c r="Z93" s="662">
        <f>+W$28*Y93+X93</f>
        <v>3145066.093036707</v>
      </c>
      <c r="AA93" s="661">
        <f>+AC92</f>
        <v>9429929.7632575762</v>
      </c>
      <c r="AB93" s="630">
        <f>+AA$31</f>
        <v>450833.29545454547</v>
      </c>
      <c r="AC93" s="630">
        <f t="shared" si="14"/>
        <v>8979096.4678030312</v>
      </c>
      <c r="AD93" s="662">
        <f>+AA$28*AC93+AB93</f>
        <v>2051864.854487638</v>
      </c>
      <c r="AE93" s="661">
        <f>+AG92</f>
        <v>94256.670454545572</v>
      </c>
      <c r="AF93" s="630">
        <f>+AE$31</f>
        <v>4597.886363636364</v>
      </c>
      <c r="AG93" s="630">
        <f t="shared" si="15"/>
        <v>89658.784090909205</v>
      </c>
      <c r="AH93" s="662">
        <f>+AE$28*AG93+AF93</f>
        <v>20584.63329177157</v>
      </c>
      <c r="AI93" s="661">
        <f>+AK92</f>
        <v>6452785.5946969725</v>
      </c>
      <c r="AJ93" s="630">
        <f>+AI$31</f>
        <v>295547.43181818182</v>
      </c>
      <c r="AK93" s="630">
        <f t="shared" si="19"/>
        <v>6157238.1628787909</v>
      </c>
      <c r="AL93" s="662">
        <f>+AI$28*AK93+AJ93</f>
        <v>1393423.220390023</v>
      </c>
      <c r="AM93" s="661">
        <f>+AO92</f>
        <v>2383638.6871590917</v>
      </c>
      <c r="AN93" s="630">
        <f>+AM$31</f>
        <v>110866.91568181818</v>
      </c>
      <c r="AO93" s="630">
        <f t="shared" si="16"/>
        <v>2272771.7714772737</v>
      </c>
      <c r="AP93" s="662">
        <f>+AM$28*AO93+AN93</f>
        <v>516116.9701458154</v>
      </c>
      <c r="AQ93" s="661">
        <f>+AS92</f>
        <v>19682276.160681814</v>
      </c>
      <c r="AR93" s="630">
        <f>+AQ$31</f>
        <v>904932.23727272719</v>
      </c>
      <c r="AS93" s="630">
        <f t="shared" si="17"/>
        <v>18777343.923409086</v>
      </c>
      <c r="AT93" s="662">
        <f>+AQ$28*AS93+AR93</f>
        <v>4253055.327830405</v>
      </c>
      <c r="AU93" s="775"/>
      <c r="AV93" s="775"/>
      <c r="AW93" s="775"/>
      <c r="AX93" s="757"/>
      <c r="AY93" s="775"/>
      <c r="AZ93" s="775"/>
      <c r="BA93" s="775"/>
      <c r="BB93" s="757"/>
      <c r="BC93" s="775"/>
      <c r="BD93" s="775"/>
      <c r="BE93" s="775"/>
      <c r="BF93" s="757"/>
      <c r="BG93" s="775"/>
      <c r="BH93" s="775"/>
      <c r="BI93" s="775"/>
      <c r="BJ93" s="757"/>
      <c r="BK93" s="775"/>
      <c r="BL93" s="775"/>
      <c r="BM93" s="775"/>
      <c r="BN93" s="757"/>
      <c r="BO93" s="775"/>
      <c r="BP93" s="775"/>
      <c r="BQ93" s="775"/>
      <c r="BR93" s="757"/>
      <c r="BS93" s="661">
        <f>+BU92</f>
        <v>182839.50000000023</v>
      </c>
      <c r="BT93" s="630">
        <f>+BS$31</f>
        <v>8310.886363636364</v>
      </c>
      <c r="BU93" s="630">
        <f t="shared" si="18"/>
        <v>174528.61363636388</v>
      </c>
      <c r="BV93" s="662">
        <f>+BS$28*BU93+BT93</f>
        <v>39430.478339072695</v>
      </c>
      <c r="BW93" s="661">
        <f>+BY92</f>
        <v>12834717.306818195</v>
      </c>
      <c r="BX93" s="630">
        <f>+BW$31</f>
        <v>576841.22727272729</v>
      </c>
      <c r="BY93" s="630">
        <f t="shared" si="20"/>
        <v>12257876.079545468</v>
      </c>
      <c r="BZ93" s="662">
        <f>+BW$28*BY93+BX93</f>
        <v>2762500.6107575512</v>
      </c>
      <c r="CA93" s="661">
        <f>+CC92</f>
        <v>1211154.7200000016</v>
      </c>
      <c r="CB93" s="630">
        <f>+CA$31</f>
        <v>54433.919999999998</v>
      </c>
      <c r="CC93" s="630">
        <f t="shared" si="21"/>
        <v>1156720.8000000017</v>
      </c>
      <c r="CD93" s="662">
        <f>+CA$28*CC93+CB93</f>
        <v>260684.79528914095</v>
      </c>
      <c r="CE93" s="661">
        <f>+CG92</f>
        <v>105131.89727272742</v>
      </c>
      <c r="CF93" s="630">
        <f>+CE$31</f>
        <v>4725.0290909090909</v>
      </c>
      <c r="CG93" s="630">
        <f t="shared" si="22"/>
        <v>100406.86818181834</v>
      </c>
      <c r="CH93" s="662">
        <f>+CE$28*CG93+CF93</f>
        <v>22628.229627755492</v>
      </c>
      <c r="CI93" s="661">
        <f>+CK92</f>
        <v>287433.40909090871</v>
      </c>
      <c r="CJ93" s="630">
        <f>+CI$31</f>
        <v>12362.727272727272</v>
      </c>
      <c r="CK93" s="630">
        <f t="shared" si="24"/>
        <v>275070.68181818142</v>
      </c>
      <c r="CL93" s="662">
        <f>+CI$28*CK93+CJ93</f>
        <v>61409.626828247172</v>
      </c>
      <c r="CM93" s="661">
        <f>+CO92</f>
        <v>13180597.431534097</v>
      </c>
      <c r="CN93" s="630">
        <f>+CM$31</f>
        <v>483691.64886363636</v>
      </c>
      <c r="CO93" s="630">
        <f t="shared" si="35"/>
        <v>12696905.782670461</v>
      </c>
      <c r="CP93" s="662">
        <f>+CM$28*CO93+CN93</f>
        <v>2747632.8965178099</v>
      </c>
      <c r="CQ93" s="661">
        <f>+CS92</f>
        <v>55992173.009829521</v>
      </c>
      <c r="CR93" s="630">
        <f>+CQ$31</f>
        <v>2017735.9643181816</v>
      </c>
      <c r="CS93" s="630">
        <f t="shared" si="40"/>
        <v>53974437.045511343</v>
      </c>
      <c r="CT93" s="662">
        <f>+CQ$28*CS93+CR93</f>
        <v>11641730.694831658</v>
      </c>
      <c r="CU93" s="661">
        <f>+CW92</f>
        <v>18933470.430000022</v>
      </c>
      <c r="CV93" s="630">
        <f>+CU$31</f>
        <v>676195.37250000006</v>
      </c>
      <c r="CW93" s="630">
        <f t="shared" si="41"/>
        <v>18257275.057500023</v>
      </c>
      <c r="CX93" s="662">
        <f>+CU$28*CW93+CV93</f>
        <v>3931586.7867496405</v>
      </c>
      <c r="CY93" s="782">
        <f t="shared" si="25"/>
        <v>19021448.367604341</v>
      </c>
      <c r="CZ93" s="756"/>
      <c r="DA93" s="778">
        <f>+CY93</f>
        <v>19021448.367604341</v>
      </c>
      <c r="DD93" s="661"/>
      <c r="DE93" s="630"/>
      <c r="DF93" s="630"/>
      <c r="DG93" s="662"/>
      <c r="DH93" s="661"/>
      <c r="DI93" s="630"/>
      <c r="DJ93" s="630"/>
      <c r="DK93" s="662"/>
      <c r="DL93" s="661"/>
      <c r="DM93" s="630"/>
      <c r="DN93" s="630"/>
      <c r="DO93" s="662"/>
      <c r="DP93" s="661"/>
      <c r="DQ93" s="630"/>
      <c r="DR93" s="630"/>
      <c r="DS93" s="662"/>
      <c r="DT93" s="661"/>
      <c r="DU93" s="630"/>
      <c r="DV93" s="630"/>
      <c r="DW93" s="662"/>
      <c r="DX93" s="661"/>
      <c r="DY93" s="630"/>
      <c r="DZ93" s="630"/>
      <c r="EA93" s="662"/>
      <c r="EB93" s="661"/>
      <c r="EC93" s="630"/>
      <c r="ED93" s="630"/>
      <c r="EE93" s="662"/>
      <c r="EF93" s="661"/>
      <c r="EG93" s="630"/>
      <c r="EH93" s="630"/>
      <c r="EI93" s="662"/>
      <c r="EJ93" s="661"/>
      <c r="EK93" s="630"/>
      <c r="EL93" s="630"/>
      <c r="EM93" s="662"/>
      <c r="EN93" s="661"/>
      <c r="EO93" s="630"/>
      <c r="EP93" s="630"/>
      <c r="EQ93" s="662"/>
      <c r="ER93" s="661"/>
      <c r="ES93" s="630"/>
      <c r="ET93" s="630"/>
      <c r="EU93" s="662"/>
      <c r="EW93" s="661"/>
      <c r="EX93" s="630"/>
      <c r="EY93" s="630"/>
      <c r="EZ93" s="662"/>
      <c r="FA93" s="661"/>
      <c r="FB93" s="630"/>
      <c r="FC93" s="630"/>
      <c r="FD93" s="662"/>
    </row>
    <row r="94" spans="1:160">
      <c r="A94" s="753" t="s">
        <v>23</v>
      </c>
      <c r="B94" s="774">
        <v>2033</v>
      </c>
      <c r="C94" s="775">
        <f>+C93</f>
        <v>8804391.6857954487</v>
      </c>
      <c r="D94" s="775">
        <f>+D93</f>
        <v>445791.98409090913</v>
      </c>
      <c r="E94" s="775">
        <f t="shared" si="6"/>
        <v>8358599.7017045394</v>
      </c>
      <c r="F94" s="757">
        <f>+C$29*E94+D94</f>
        <v>2002665.9923284117</v>
      </c>
      <c r="G94" s="775">
        <f>+G93</f>
        <v>2258894.6161363614</v>
      </c>
      <c r="H94" s="775">
        <f>+H93</f>
        <v>115840.74954545456</v>
      </c>
      <c r="I94" s="775">
        <f t="shared" si="7"/>
        <v>2143053.8665909069</v>
      </c>
      <c r="J94" s="757">
        <f>+G$29*I94+H94</f>
        <v>515006.27753070666</v>
      </c>
      <c r="K94" s="776">
        <f>+K93</f>
        <v>5726620.5213068137</v>
      </c>
      <c r="L94" s="775">
        <f>+L93</f>
        <v>305419.76113636367</v>
      </c>
      <c r="M94" s="775">
        <f t="shared" si="8"/>
        <v>5421200.7601704504</v>
      </c>
      <c r="N94" s="757">
        <f>+K$29*M94+L94</f>
        <v>1315173.4110480349</v>
      </c>
      <c r="O94" s="776">
        <f>+O93</f>
        <v>2485756.6287878752</v>
      </c>
      <c r="P94" s="775">
        <f>+P93</f>
        <v>119316.31818181818</v>
      </c>
      <c r="Q94" s="775">
        <f t="shared" si="11"/>
        <v>2366440.3106060568</v>
      </c>
      <c r="R94" s="757">
        <f>+O$29*Q94+P94</f>
        <v>560089.83804265526</v>
      </c>
      <c r="S94" s="661">
        <f>+S93</f>
        <v>1117717.6878787847</v>
      </c>
      <c r="T94" s="630">
        <f>+T93</f>
        <v>58315.705454545445</v>
      </c>
      <c r="U94" s="630">
        <f t="shared" si="12"/>
        <v>1059401.9824242392</v>
      </c>
      <c r="V94" s="662">
        <f>+S$29*U94+T94</f>
        <v>255640.07431686029</v>
      </c>
      <c r="W94" s="661">
        <f>+W93</f>
        <v>14443616.950757582</v>
      </c>
      <c r="X94" s="630">
        <f>+X93</f>
        <v>693293.61363636365</v>
      </c>
      <c r="Y94" s="630">
        <f t="shared" si="13"/>
        <v>13750323.337121218</v>
      </c>
      <c r="Z94" s="662">
        <f>+W$29*Y94+X94</f>
        <v>3254430.8581989934</v>
      </c>
      <c r="AA94" s="661">
        <f>+AA93</f>
        <v>9429929.7632575762</v>
      </c>
      <c r="AB94" s="630">
        <f>+AB93</f>
        <v>450833.29545454547</v>
      </c>
      <c r="AC94" s="630">
        <f t="shared" si="14"/>
        <v>8979096.4678030312</v>
      </c>
      <c r="AD94" s="662">
        <f>+AA$29*AC94+AB94</f>
        <v>2123281.1224905686</v>
      </c>
      <c r="AE94" s="661">
        <f>+AE93</f>
        <v>94256.670454545572</v>
      </c>
      <c r="AF94" s="630">
        <f>+AF93</f>
        <v>4597.886363636364</v>
      </c>
      <c r="AG94" s="630">
        <f t="shared" si="15"/>
        <v>89658.784090909205</v>
      </c>
      <c r="AH94" s="662">
        <f>+AE$29*AG94+AF94</f>
        <v>21297.744658423358</v>
      </c>
      <c r="AI94" s="661">
        <f>+AI93</f>
        <v>6452785.5946969725</v>
      </c>
      <c r="AJ94" s="630">
        <f>+AJ93</f>
        <v>295547.43181818182</v>
      </c>
      <c r="AK94" s="630">
        <f t="shared" si="19"/>
        <v>6157238.1628787909</v>
      </c>
      <c r="AL94" s="662">
        <f>+AI$29*AK94+AJ94</f>
        <v>1442395.5164751336</v>
      </c>
      <c r="AM94" s="661">
        <f>+AM93</f>
        <v>2383638.6871590917</v>
      </c>
      <c r="AN94" s="630">
        <f>+AN93</f>
        <v>110866.91568181818</v>
      </c>
      <c r="AO94" s="630">
        <f t="shared" si="16"/>
        <v>2272771.7714772737</v>
      </c>
      <c r="AP94" s="662">
        <f>+AM$29*AO94+AN94</f>
        <v>534193.71968551935</v>
      </c>
      <c r="AQ94" s="661">
        <f>+AQ93</f>
        <v>19682276.160681814</v>
      </c>
      <c r="AR94" s="630">
        <f>+AR93</f>
        <v>904932.23727272719</v>
      </c>
      <c r="AS94" s="630">
        <f t="shared" si="17"/>
        <v>18777343.923409086</v>
      </c>
      <c r="AT94" s="662">
        <f>+AQ$29*AS94+AR94</f>
        <v>4402403.0746583762</v>
      </c>
      <c r="AU94" s="775"/>
      <c r="AV94" s="775"/>
      <c r="AW94" s="775"/>
      <c r="AX94" s="757"/>
      <c r="AY94" s="775"/>
      <c r="AZ94" s="775"/>
      <c r="BA94" s="775"/>
      <c r="BB94" s="757"/>
      <c r="BC94" s="775"/>
      <c r="BD94" s="775"/>
      <c r="BE94" s="775"/>
      <c r="BF94" s="757"/>
      <c r="BG94" s="775"/>
      <c r="BH94" s="775"/>
      <c r="BI94" s="775"/>
      <c r="BJ94" s="757"/>
      <c r="BK94" s="775"/>
      <c r="BL94" s="775"/>
      <c r="BM94" s="775"/>
      <c r="BN94" s="757"/>
      <c r="BO94" s="775"/>
      <c r="BP94" s="775"/>
      <c r="BQ94" s="775"/>
      <c r="BR94" s="757"/>
      <c r="BS94" s="661">
        <f>+BS93</f>
        <v>182839.50000000023</v>
      </c>
      <c r="BT94" s="630">
        <f>+BT93</f>
        <v>8310.886363636364</v>
      </c>
      <c r="BU94" s="630">
        <f t="shared" si="18"/>
        <v>174528.61363636388</v>
      </c>
      <c r="BV94" s="662">
        <f>+BS$29*BU94+BT94</f>
        <v>40818.611576122566</v>
      </c>
      <c r="BW94" s="661">
        <f>+BW93</f>
        <v>12834717.306818195</v>
      </c>
      <c r="BX94" s="630">
        <f>+BX93</f>
        <v>576841.22727272729</v>
      </c>
      <c r="BY94" s="630">
        <f t="shared" si="20"/>
        <v>12257876.079545468</v>
      </c>
      <c r="BZ94" s="662">
        <f>+BW$29*BY94+BX94</f>
        <v>2762500.6107575512</v>
      </c>
      <c r="CA94" s="661">
        <f>+CA93</f>
        <v>1211154.7200000016</v>
      </c>
      <c r="CB94" s="630">
        <f>+CB93</f>
        <v>54433.919999999998</v>
      </c>
      <c r="CC94" s="630">
        <f t="shared" si="21"/>
        <v>1156720.8000000017</v>
      </c>
      <c r="CD94" s="662">
        <f>+CA$29*CC94+CB94</f>
        <v>269884.90611917595</v>
      </c>
      <c r="CE94" s="661">
        <f>+CE93</f>
        <v>105131.89727272742</v>
      </c>
      <c r="CF94" s="630">
        <f>+CF93</f>
        <v>4725.0290909090909</v>
      </c>
      <c r="CG94" s="630">
        <f t="shared" si="22"/>
        <v>100406.86818181834</v>
      </c>
      <c r="CH94" s="662">
        <f>+CE$29*CG94+CF94</f>
        <v>23426.827107259141</v>
      </c>
      <c r="CI94" s="661">
        <f>+CI93</f>
        <v>287433.40909090871</v>
      </c>
      <c r="CJ94" s="630">
        <f>+CJ93</f>
        <v>12362.727272727272</v>
      </c>
      <c r="CK94" s="630">
        <f t="shared" si="24"/>
        <v>275070.68181818142</v>
      </c>
      <c r="CL94" s="662">
        <f>+CI$29*CK94+CJ94</f>
        <v>61409.626828247172</v>
      </c>
      <c r="CM94" s="661">
        <f>+CM93</f>
        <v>13180597.431534097</v>
      </c>
      <c r="CN94" s="630">
        <f>+CN93</f>
        <v>483691.64886363636</v>
      </c>
      <c r="CO94" s="630">
        <f t="shared" si="35"/>
        <v>12696905.782670461</v>
      </c>
      <c r="CP94" s="662">
        <f>+CM$29*CO94+CN94</f>
        <v>2747632.8965178099</v>
      </c>
      <c r="CQ94" s="661">
        <f>+CQ93</f>
        <v>55992173.009829521</v>
      </c>
      <c r="CR94" s="630">
        <f>+CR93</f>
        <v>2017735.9643181816</v>
      </c>
      <c r="CS94" s="630">
        <f t="shared" si="40"/>
        <v>53974437.045511343</v>
      </c>
      <c r="CT94" s="662">
        <f>+CQ$29*CS94+CR94</f>
        <v>11641730.694831658</v>
      </c>
      <c r="CU94" s="661">
        <f>+CU93</f>
        <v>18933470.430000022</v>
      </c>
      <c r="CV94" s="630">
        <f>+CV93</f>
        <v>676195.37250000006</v>
      </c>
      <c r="CW94" s="630">
        <f t="shared" si="41"/>
        <v>18257275.057500023</v>
      </c>
      <c r="CX94" s="662">
        <f>+CU$29*CW94+CV94</f>
        <v>3931586.7867496405</v>
      </c>
      <c r="CY94" s="782">
        <f t="shared" si="25"/>
        <v>19584618.211822037</v>
      </c>
      <c r="CZ94" s="779">
        <f>+CY94</f>
        <v>19584618.211822037</v>
      </c>
      <c r="DA94" s="752"/>
      <c r="DD94" s="661"/>
      <c r="DE94" s="630"/>
      <c r="DF94" s="630"/>
      <c r="DG94" s="662"/>
      <c r="DH94" s="661"/>
      <c r="DI94" s="630"/>
      <c r="DJ94" s="630"/>
      <c r="DK94" s="662"/>
      <c r="DL94" s="661"/>
      <c r="DM94" s="630"/>
      <c r="DN94" s="630"/>
      <c r="DO94" s="662"/>
      <c r="DP94" s="661"/>
      <c r="DQ94" s="630"/>
      <c r="DR94" s="630"/>
      <c r="DS94" s="662"/>
      <c r="DT94" s="661"/>
      <c r="DU94" s="630"/>
      <c r="DV94" s="630"/>
      <c r="DW94" s="662"/>
      <c r="DX94" s="661"/>
      <c r="DY94" s="630"/>
      <c r="DZ94" s="630"/>
      <c r="EA94" s="662"/>
      <c r="EB94" s="661"/>
      <c r="EC94" s="630"/>
      <c r="ED94" s="630"/>
      <c r="EE94" s="662"/>
      <c r="EF94" s="661"/>
      <c r="EG94" s="630"/>
      <c r="EH94" s="630"/>
      <c r="EI94" s="662"/>
      <c r="EJ94" s="661"/>
      <c r="EK94" s="630"/>
      <c r="EL94" s="630"/>
      <c r="EM94" s="662"/>
      <c r="EN94" s="661"/>
      <c r="EO94" s="630"/>
      <c r="EP94" s="630"/>
      <c r="EQ94" s="662"/>
      <c r="ER94" s="661"/>
      <c r="ES94" s="630"/>
      <c r="ET94" s="630"/>
      <c r="EU94" s="662"/>
      <c r="EW94" s="661"/>
      <c r="EX94" s="630"/>
      <c r="EY94" s="630"/>
      <c r="EZ94" s="662"/>
      <c r="FA94" s="661"/>
      <c r="FB94" s="630"/>
      <c r="FC94" s="630"/>
      <c r="FD94" s="662"/>
    </row>
    <row r="95" spans="1:160">
      <c r="A95" s="753" t="s">
        <v>24</v>
      </c>
      <c r="B95" s="774">
        <v>2034</v>
      </c>
      <c r="C95" s="775">
        <f>+E94</f>
        <v>8358599.7017045394</v>
      </c>
      <c r="D95" s="775">
        <f>+C$31</f>
        <v>445791.98409090913</v>
      </c>
      <c r="E95" s="775">
        <f t="shared" si="6"/>
        <v>7912807.71761363</v>
      </c>
      <c r="F95" s="757">
        <f>+C$28*E95+D95</f>
        <v>1856697.2930924231</v>
      </c>
      <c r="G95" s="775">
        <f>+I94</f>
        <v>2143053.8665909069</v>
      </c>
      <c r="H95" s="775">
        <f>+G$31</f>
        <v>115840.74954545456</v>
      </c>
      <c r="I95" s="775">
        <f t="shared" si="7"/>
        <v>2027213.1170454524</v>
      </c>
      <c r="J95" s="757">
        <f>+G$28*I95+H95</f>
        <v>477306.09173369192</v>
      </c>
      <c r="K95" s="776">
        <f>+M94</f>
        <v>5421200.7601704504</v>
      </c>
      <c r="L95" s="775">
        <f>+K$31</f>
        <v>305419.76113636367</v>
      </c>
      <c r="M95" s="775">
        <f t="shared" si="8"/>
        <v>5115780.9990340872</v>
      </c>
      <c r="N95" s="757">
        <f>+K$28*M95+L95</f>
        <v>1217596.9337421772</v>
      </c>
      <c r="O95" s="776">
        <f>+Q94</f>
        <v>2366440.3106060568</v>
      </c>
      <c r="P95" s="775">
        <f>+O$31</f>
        <v>119316.31818181818</v>
      </c>
      <c r="Q95" s="775">
        <f t="shared" si="11"/>
        <v>2247123.9924242385</v>
      </c>
      <c r="R95" s="757">
        <f>+O$28*Q95+P95</f>
        <v>519993.20608832716</v>
      </c>
      <c r="S95" s="661">
        <f>+U94</f>
        <v>1059401.9824242392</v>
      </c>
      <c r="T95" s="630">
        <f>+S$31</f>
        <v>58315.705454545445</v>
      </c>
      <c r="U95" s="630">
        <f t="shared" si="12"/>
        <v>1001086.2769696937</v>
      </c>
      <c r="V95" s="662">
        <f>+S$28*U95+T95</f>
        <v>236815.92855500875</v>
      </c>
      <c r="W95" s="661">
        <f>+Y94</f>
        <v>13750323.337121218</v>
      </c>
      <c r="X95" s="630">
        <f>+W$31</f>
        <v>693293.61363636365</v>
      </c>
      <c r="Y95" s="630">
        <f t="shared" si="13"/>
        <v>13057029.723484855</v>
      </c>
      <c r="Z95" s="662">
        <f>+W$28*Y95+X95</f>
        <v>3021447.3125627404</v>
      </c>
      <c r="AA95" s="661">
        <f>+AC94</f>
        <v>8979096.4678030312</v>
      </c>
      <c r="AB95" s="630">
        <f>+AA$31</f>
        <v>450833.29545454547</v>
      </c>
      <c r="AC95" s="630">
        <f t="shared" si="14"/>
        <v>8528263.1723484863</v>
      </c>
      <c r="AD95" s="662">
        <f>+AA$28*AC95+AB95</f>
        <v>1971478.3326951817</v>
      </c>
      <c r="AE95" s="661">
        <f>+AG94</f>
        <v>89658.784090909205</v>
      </c>
      <c r="AF95" s="630">
        <f>+AE$31</f>
        <v>4597.886363636364</v>
      </c>
      <c r="AG95" s="630">
        <f t="shared" si="15"/>
        <v>85060.897727272837</v>
      </c>
      <c r="AH95" s="662">
        <f>+AE$28*AG95+AF95</f>
        <v>19764.800115969767</v>
      </c>
      <c r="AI95" s="661">
        <f>+AK94</f>
        <v>6157238.1628787909</v>
      </c>
      <c r="AJ95" s="630">
        <f>+AI$31</f>
        <v>295547.43181818182</v>
      </c>
      <c r="AK95" s="630">
        <f t="shared" si="19"/>
        <v>5861690.7310606092</v>
      </c>
      <c r="AL95" s="662">
        <f>+AI$28*AK95+AJ95</f>
        <v>1340725.1825385746</v>
      </c>
      <c r="AM95" s="661">
        <f>+AO94</f>
        <v>2272771.7714772737</v>
      </c>
      <c r="AN95" s="630">
        <f>+AM$31</f>
        <v>110866.91568181818</v>
      </c>
      <c r="AO95" s="630">
        <f t="shared" si="16"/>
        <v>2161904.8557954556</v>
      </c>
      <c r="AP95" s="662">
        <f>+AM$28*AO95+AN95</f>
        <v>496348.67480610823</v>
      </c>
      <c r="AQ95" s="661">
        <f>+AS94</f>
        <v>18777343.923409086</v>
      </c>
      <c r="AR95" s="630">
        <f>+AQ$31</f>
        <v>904932.23727272719</v>
      </c>
      <c r="AS95" s="630">
        <f t="shared" si="17"/>
        <v>17872411.686136357</v>
      </c>
      <c r="AT95" s="662">
        <f>+AQ$28*AS95+AR95</f>
        <v>4091699.9981649751</v>
      </c>
      <c r="AU95" s="775"/>
      <c r="AV95" s="775"/>
      <c r="AW95" s="775"/>
      <c r="AX95" s="757"/>
      <c r="AY95" s="775"/>
      <c r="AZ95" s="775"/>
      <c r="BA95" s="775"/>
      <c r="BB95" s="757"/>
      <c r="BC95" s="775"/>
      <c r="BD95" s="775"/>
      <c r="BE95" s="775"/>
      <c r="BF95" s="757"/>
      <c r="BG95" s="775"/>
      <c r="BH95" s="775"/>
      <c r="BI95" s="775"/>
      <c r="BJ95" s="757"/>
      <c r="BK95" s="775"/>
      <c r="BL95" s="775"/>
      <c r="BM95" s="775"/>
      <c r="BN95" s="757"/>
      <c r="BO95" s="775"/>
      <c r="BP95" s="775"/>
      <c r="BQ95" s="775"/>
      <c r="BR95" s="757"/>
      <c r="BS95" s="661">
        <f>+BU94</f>
        <v>174528.61363636388</v>
      </c>
      <c r="BT95" s="630">
        <f>+BS$31</f>
        <v>8310.886363636364</v>
      </c>
      <c r="BU95" s="630">
        <f t="shared" si="18"/>
        <v>166217.72727272753</v>
      </c>
      <c r="BV95" s="662">
        <f>+BS$28*BU95+BT95</f>
        <v>37948.593006909068</v>
      </c>
      <c r="BW95" s="661">
        <f>+BY94</f>
        <v>12257876.079545468</v>
      </c>
      <c r="BX95" s="630">
        <f>+BW$31</f>
        <v>576841.22727272729</v>
      </c>
      <c r="BY95" s="630">
        <f t="shared" si="20"/>
        <v>11681034.852272741</v>
      </c>
      <c r="BZ95" s="662">
        <f>+BW$28*BY95+BX95</f>
        <v>2659646.0515347365</v>
      </c>
      <c r="CA95" s="661">
        <f>+CC94</f>
        <v>1156720.8000000017</v>
      </c>
      <c r="CB95" s="630">
        <f>+CA$31</f>
        <v>54433.919999999998</v>
      </c>
      <c r="CC95" s="630">
        <f t="shared" si="21"/>
        <v>1102286.8800000018</v>
      </c>
      <c r="CD95" s="662">
        <f>+CA$28*CC95+CB95</f>
        <v>250978.87174612255</v>
      </c>
      <c r="CE95" s="661">
        <f>+CG94</f>
        <v>100406.86818181834</v>
      </c>
      <c r="CF95" s="630">
        <f>+CE$31</f>
        <v>4725.0290909090909</v>
      </c>
      <c r="CG95" s="630">
        <f t="shared" si="22"/>
        <v>95681.839090909256</v>
      </c>
      <c r="CH95" s="662">
        <f>+CE$28*CG95+CF95</f>
        <v>21785.726073080368</v>
      </c>
      <c r="CI95" s="661">
        <f>+CK94</f>
        <v>275070.68181818142</v>
      </c>
      <c r="CJ95" s="630">
        <f>+CI$31</f>
        <v>12362.727272727272</v>
      </c>
      <c r="CK95" s="630">
        <f t="shared" si="24"/>
        <v>262707.95454545412</v>
      </c>
      <c r="CL95" s="662">
        <f>+CI$28*CK95+CJ95</f>
        <v>59205.271792044019</v>
      </c>
      <c r="CM95" s="661">
        <f>+CO94</f>
        <v>12696905.782670461</v>
      </c>
      <c r="CN95" s="630">
        <f>+CM$31</f>
        <v>483691.64886363636</v>
      </c>
      <c r="CO95" s="630">
        <f t="shared" si="35"/>
        <v>12213214.133806825</v>
      </c>
      <c r="CP95" s="662">
        <f>+CM$28*CO95+CN95</f>
        <v>2661387.5156547939</v>
      </c>
      <c r="CQ95" s="661">
        <f>+CS94</f>
        <v>53974437.045511343</v>
      </c>
      <c r="CR95" s="630">
        <f>+CQ$31</f>
        <v>2017735.9643181816</v>
      </c>
      <c r="CS95" s="630">
        <f t="shared" si="40"/>
        <v>51956701.081193164</v>
      </c>
      <c r="CT95" s="662">
        <f>+CQ$28*CS95+CR95</f>
        <v>11281955.19088723</v>
      </c>
      <c r="CU95" s="661">
        <f>+CW94</f>
        <v>18257275.057500023</v>
      </c>
      <c r="CV95" s="630">
        <f>+CU$31</f>
        <v>676195.37250000006</v>
      </c>
      <c r="CW95" s="630">
        <f t="shared" si="41"/>
        <v>17581079.685000025</v>
      </c>
      <c r="CX95" s="662">
        <f>+CU$28*CW95+CV95</f>
        <v>3811016.7343700244</v>
      </c>
      <c r="CY95" s="782">
        <f t="shared" si="25"/>
        <v>18279438.26824807</v>
      </c>
      <c r="CZ95" s="756"/>
      <c r="DA95" s="778">
        <f>+CY95</f>
        <v>18279438.26824807</v>
      </c>
      <c r="DD95" s="661"/>
      <c r="DE95" s="630"/>
      <c r="DF95" s="630"/>
      <c r="DG95" s="662"/>
      <c r="DH95" s="661"/>
      <c r="DI95" s="630"/>
      <c r="DJ95" s="630"/>
      <c r="DK95" s="662"/>
      <c r="DL95" s="661"/>
      <c r="DM95" s="630"/>
      <c r="DN95" s="630"/>
      <c r="DO95" s="662"/>
      <c r="DP95" s="661"/>
      <c r="DQ95" s="630"/>
      <c r="DR95" s="630"/>
      <c r="DS95" s="662"/>
      <c r="DT95" s="661"/>
      <c r="DU95" s="630"/>
      <c r="DV95" s="630"/>
      <c r="DW95" s="662"/>
      <c r="DX95" s="661"/>
      <c r="DY95" s="630"/>
      <c r="DZ95" s="630"/>
      <c r="EA95" s="662"/>
      <c r="EB95" s="661"/>
      <c r="EC95" s="630"/>
      <c r="ED95" s="630"/>
      <c r="EE95" s="662"/>
      <c r="EF95" s="661"/>
      <c r="EG95" s="630"/>
      <c r="EH95" s="630"/>
      <c r="EI95" s="662"/>
      <c r="EJ95" s="661"/>
      <c r="EK95" s="630"/>
      <c r="EL95" s="630"/>
      <c r="EM95" s="662"/>
      <c r="EN95" s="661"/>
      <c r="EO95" s="630"/>
      <c r="EP95" s="630"/>
      <c r="EQ95" s="662"/>
      <c r="ER95" s="661"/>
      <c r="ES95" s="630"/>
      <c r="ET95" s="630"/>
      <c r="EU95" s="662"/>
      <c r="EW95" s="661"/>
      <c r="EX95" s="630"/>
      <c r="EY95" s="630"/>
      <c r="EZ95" s="662"/>
      <c r="FA95" s="661"/>
      <c r="FB95" s="630"/>
      <c r="FC95" s="630"/>
      <c r="FD95" s="662"/>
    </row>
    <row r="96" spans="1:160">
      <c r="A96" s="753" t="s">
        <v>23</v>
      </c>
      <c r="B96" s="774">
        <v>2034</v>
      </c>
      <c r="C96" s="775">
        <f>+C95</f>
        <v>8358599.7017045394</v>
      </c>
      <c r="D96" s="775">
        <f>+D95</f>
        <v>445791.98409090913</v>
      </c>
      <c r="E96" s="775">
        <f t="shared" si="6"/>
        <v>7912807.71761363</v>
      </c>
      <c r="F96" s="757">
        <f>+C$29*E96+D96</f>
        <v>1919632.7118890781</v>
      </c>
      <c r="G96" s="775">
        <f>+G95</f>
        <v>2143053.8665909069</v>
      </c>
      <c r="H96" s="775">
        <f>+H95</f>
        <v>115840.74954545456</v>
      </c>
      <c r="I96" s="775">
        <f t="shared" si="7"/>
        <v>2027213.1170454524</v>
      </c>
      <c r="J96" s="757">
        <f>+G$29*I96+H96</f>
        <v>493429.76250447682</v>
      </c>
      <c r="K96" s="776">
        <f>+K95</f>
        <v>5421200.7601704504</v>
      </c>
      <c r="L96" s="775">
        <f>+L95</f>
        <v>305419.76113636367</v>
      </c>
      <c r="M96" s="775">
        <f t="shared" si="8"/>
        <v>5115780.9990340872</v>
      </c>
      <c r="N96" s="757">
        <f>+K$29*M96+L96</f>
        <v>1258285.8814755464</v>
      </c>
      <c r="O96" s="776">
        <f>+O95</f>
        <v>2366440.3106060568</v>
      </c>
      <c r="P96" s="775">
        <f>+P95</f>
        <v>119316.31818181818</v>
      </c>
      <c r="Q96" s="775">
        <f t="shared" si="11"/>
        <v>2247123.9924242385</v>
      </c>
      <c r="R96" s="757">
        <f>+O$29*Q96+P96</f>
        <v>537865.96309168858</v>
      </c>
      <c r="S96" s="661">
        <f>+S95</f>
        <v>1059401.9824242392</v>
      </c>
      <c r="T96" s="630">
        <f>+T95</f>
        <v>58315.705454545445</v>
      </c>
      <c r="U96" s="630">
        <f t="shared" si="12"/>
        <v>1001086.2769696937</v>
      </c>
      <c r="V96" s="662">
        <f>+S$29*U96+T96</f>
        <v>244778.18245287964</v>
      </c>
      <c r="W96" s="661">
        <f>+W95</f>
        <v>13750323.337121218</v>
      </c>
      <c r="X96" s="630">
        <f>+X95</f>
        <v>693293.61363636365</v>
      </c>
      <c r="Y96" s="630">
        <f t="shared" si="13"/>
        <v>13057029.723484855</v>
      </c>
      <c r="Z96" s="662">
        <f>+W$29*Y96+X96</f>
        <v>3125297.8878849116</v>
      </c>
      <c r="AA96" s="661">
        <f>+AA95</f>
        <v>8979096.4678030312</v>
      </c>
      <c r="AB96" s="630">
        <f>+AB95</f>
        <v>450833.29545454547</v>
      </c>
      <c r="AC96" s="630">
        <f t="shared" si="14"/>
        <v>8528263.1723484863</v>
      </c>
      <c r="AD96" s="662">
        <f>+AA$29*AC96+AB96</f>
        <v>2039308.8466561239</v>
      </c>
      <c r="AE96" s="661">
        <f>+AE95</f>
        <v>89658.784090909205</v>
      </c>
      <c r="AF96" s="630">
        <f>+AF95</f>
        <v>4597.886363636364</v>
      </c>
      <c r="AG96" s="630">
        <f t="shared" si="15"/>
        <v>85060.897727272837</v>
      </c>
      <c r="AH96" s="662">
        <f>+AE$29*AG96+AF96</f>
        <v>20441.341668947101</v>
      </c>
      <c r="AI96" s="661">
        <f>+AI95</f>
        <v>6157238.1628787909</v>
      </c>
      <c r="AJ96" s="630">
        <f>+AJ95</f>
        <v>295547.43181818182</v>
      </c>
      <c r="AK96" s="630">
        <f t="shared" si="19"/>
        <v>5861690.7310606092</v>
      </c>
      <c r="AL96" s="662">
        <f>+AI$29*AK96+AJ96</f>
        <v>1387346.8084116001</v>
      </c>
      <c r="AM96" s="661">
        <f>+AM95</f>
        <v>2272771.7714772737</v>
      </c>
      <c r="AN96" s="630">
        <f>+AN95</f>
        <v>110866.91568181818</v>
      </c>
      <c r="AO96" s="630">
        <f t="shared" si="16"/>
        <v>2161904.8557954556</v>
      </c>
      <c r="AP96" s="662">
        <f>+AM$29*AO96+AN96</f>
        <v>513543.6316853388</v>
      </c>
      <c r="AQ96" s="661">
        <f>+AQ95</f>
        <v>18777343.923409086</v>
      </c>
      <c r="AR96" s="630">
        <f>+AR95</f>
        <v>904932.23727272719</v>
      </c>
      <c r="AS96" s="630">
        <f t="shared" si="17"/>
        <v>17872411.686136357</v>
      </c>
      <c r="AT96" s="662">
        <f>+AQ$29*AS96+AR96</f>
        <v>4233850.2632181039</v>
      </c>
      <c r="AU96" s="775"/>
      <c r="AV96" s="775"/>
      <c r="AW96" s="775"/>
      <c r="AX96" s="757"/>
      <c r="AY96" s="775"/>
      <c r="AZ96" s="775"/>
      <c r="BA96" s="775"/>
      <c r="BB96" s="757"/>
      <c r="BC96" s="775"/>
      <c r="BD96" s="775"/>
      <c r="BE96" s="775"/>
      <c r="BF96" s="757"/>
      <c r="BG96" s="775"/>
      <c r="BH96" s="775"/>
      <c r="BI96" s="775"/>
      <c r="BJ96" s="757"/>
      <c r="BK96" s="775"/>
      <c r="BL96" s="775"/>
      <c r="BM96" s="775"/>
      <c r="BN96" s="757"/>
      <c r="BO96" s="775"/>
      <c r="BP96" s="775"/>
      <c r="BQ96" s="775"/>
      <c r="BR96" s="757"/>
      <c r="BS96" s="661">
        <f>+BS95</f>
        <v>174528.61363636388</v>
      </c>
      <c r="BT96" s="630">
        <f>+BT95</f>
        <v>8310.886363636364</v>
      </c>
      <c r="BU96" s="630">
        <f t="shared" si="18"/>
        <v>166217.72727272753</v>
      </c>
      <c r="BV96" s="662">
        <f>+BS$29*BU96+BT96</f>
        <v>39270.624661242269</v>
      </c>
      <c r="BW96" s="661">
        <f>+BW95</f>
        <v>12257876.079545468</v>
      </c>
      <c r="BX96" s="630">
        <f>+BX95</f>
        <v>576841.22727272729</v>
      </c>
      <c r="BY96" s="630">
        <f t="shared" si="20"/>
        <v>11681034.852272741</v>
      </c>
      <c r="BZ96" s="662">
        <f>+BW$29*BY96+BX96</f>
        <v>2659646.0515347365</v>
      </c>
      <c r="CA96" s="661">
        <f>+CA95</f>
        <v>1156720.8000000017</v>
      </c>
      <c r="CB96" s="630">
        <f>+CB95</f>
        <v>54433.919999999998</v>
      </c>
      <c r="CC96" s="630">
        <f t="shared" si="21"/>
        <v>1102286.8800000018</v>
      </c>
      <c r="CD96" s="662">
        <f>+CA$29*CC96+CB96</f>
        <v>259746.03618415596</v>
      </c>
      <c r="CE96" s="661">
        <f>+CE95</f>
        <v>100406.86818181834</v>
      </c>
      <c r="CF96" s="630">
        <f>+CF95</f>
        <v>4725.0290909090909</v>
      </c>
      <c r="CG96" s="630">
        <f t="shared" si="22"/>
        <v>95681.839090909256</v>
      </c>
      <c r="CH96" s="662">
        <f>+CE$29*CG96+CF96</f>
        <v>22546.742494725026</v>
      </c>
      <c r="CI96" s="661">
        <f>+CI95</f>
        <v>275070.68181818142</v>
      </c>
      <c r="CJ96" s="630">
        <f>+CJ95</f>
        <v>12362.727272727272</v>
      </c>
      <c r="CK96" s="630">
        <f t="shared" si="24"/>
        <v>262707.95454545412</v>
      </c>
      <c r="CL96" s="662">
        <f>+CI$29*CK96+CJ96</f>
        <v>59205.271792044019</v>
      </c>
      <c r="CM96" s="661">
        <f>+CM95</f>
        <v>12696905.782670461</v>
      </c>
      <c r="CN96" s="630">
        <f>+CN95</f>
        <v>483691.64886363636</v>
      </c>
      <c r="CO96" s="630">
        <f t="shared" si="35"/>
        <v>12213214.133806825</v>
      </c>
      <c r="CP96" s="662">
        <f>+CM$29*CO96+CN96</f>
        <v>2661387.5156547939</v>
      </c>
      <c r="CQ96" s="661">
        <f>+CQ95</f>
        <v>53974437.045511343</v>
      </c>
      <c r="CR96" s="630">
        <f>+CR95</f>
        <v>2017735.9643181816</v>
      </c>
      <c r="CS96" s="630">
        <f t="shared" si="40"/>
        <v>51956701.081193164</v>
      </c>
      <c r="CT96" s="662">
        <f>+CQ$29*CS96+CR96</f>
        <v>11281955.19088723</v>
      </c>
      <c r="CU96" s="661">
        <f>+CU95</f>
        <v>18257275.057500023</v>
      </c>
      <c r="CV96" s="630">
        <f>+CV95</f>
        <v>676195.37250000006</v>
      </c>
      <c r="CW96" s="630">
        <f t="shared" si="41"/>
        <v>17581079.685000025</v>
      </c>
      <c r="CX96" s="662">
        <f>+CU$29*CW96+CV96</f>
        <v>3811016.7343700244</v>
      </c>
      <c r="CY96" s="782">
        <f t="shared" si="25"/>
        <v>18814196.007605594</v>
      </c>
      <c r="CZ96" s="779">
        <f>+CY96</f>
        <v>18814196.007605594</v>
      </c>
      <c r="DA96" s="752"/>
      <c r="DD96" s="661"/>
      <c r="DE96" s="630"/>
      <c r="DF96" s="630"/>
      <c r="DG96" s="662"/>
      <c r="DH96" s="661"/>
      <c r="DI96" s="630"/>
      <c r="DJ96" s="630"/>
      <c r="DK96" s="662"/>
      <c r="DL96" s="661"/>
      <c r="DM96" s="630"/>
      <c r="DN96" s="630"/>
      <c r="DO96" s="662"/>
      <c r="DP96" s="661"/>
      <c r="DQ96" s="630"/>
      <c r="DR96" s="630"/>
      <c r="DS96" s="662"/>
      <c r="DT96" s="661"/>
      <c r="DU96" s="630"/>
      <c r="DV96" s="630"/>
      <c r="DW96" s="662"/>
      <c r="DX96" s="661"/>
      <c r="DY96" s="630"/>
      <c r="DZ96" s="630"/>
      <c r="EA96" s="662"/>
      <c r="EB96" s="661"/>
      <c r="EC96" s="630"/>
      <c r="ED96" s="630"/>
      <c r="EE96" s="662"/>
      <c r="EF96" s="661"/>
      <c r="EG96" s="630"/>
      <c r="EH96" s="630"/>
      <c r="EI96" s="662"/>
      <c r="EJ96" s="661"/>
      <c r="EK96" s="630"/>
      <c r="EL96" s="630"/>
      <c r="EM96" s="662"/>
      <c r="EN96" s="661"/>
      <c r="EO96" s="630"/>
      <c r="EP96" s="630"/>
      <c r="EQ96" s="662"/>
      <c r="ER96" s="661"/>
      <c r="ES96" s="630"/>
      <c r="ET96" s="630"/>
      <c r="EU96" s="662"/>
      <c r="EW96" s="661"/>
      <c r="EX96" s="630"/>
      <c r="EY96" s="630"/>
      <c r="EZ96" s="662"/>
      <c r="FA96" s="661"/>
      <c r="FB96" s="630"/>
      <c r="FC96" s="630"/>
      <c r="FD96" s="662"/>
    </row>
    <row r="97" spans="1:160">
      <c r="A97" s="753" t="s">
        <v>24</v>
      </c>
      <c r="B97" s="774">
        <v>2035</v>
      </c>
      <c r="C97" s="775">
        <f>+E96</f>
        <v>7912807.71761363</v>
      </c>
      <c r="D97" s="775">
        <f>+C$31</f>
        <v>445791.98409090913</v>
      </c>
      <c r="E97" s="775">
        <f t="shared" si="6"/>
        <v>7467015.7335227206</v>
      </c>
      <c r="F97" s="757">
        <f>+C$28*E97+D97</f>
        <v>1777209.6700500841</v>
      </c>
      <c r="G97" s="775">
        <f>+I96</f>
        <v>2027213.1170454524</v>
      </c>
      <c r="H97" s="775">
        <f>+G$31</f>
        <v>115840.74954545456</v>
      </c>
      <c r="I97" s="775">
        <f t="shared" si="7"/>
        <v>1911372.3674999978</v>
      </c>
      <c r="J97" s="757">
        <f>+G$28*I97+H97</f>
        <v>456650.92932293547</v>
      </c>
      <c r="K97" s="776">
        <f>+M96</f>
        <v>5115780.9990340872</v>
      </c>
      <c r="L97" s="775">
        <f>+K$31</f>
        <v>305419.76113636367</v>
      </c>
      <c r="M97" s="775">
        <f t="shared" si="8"/>
        <v>4810361.2378977239</v>
      </c>
      <c r="N97" s="757">
        <f>+K$28*M97+L97</f>
        <v>1163138.5950791438</v>
      </c>
      <c r="O97" s="776">
        <f>+Q96</f>
        <v>2247123.9924242385</v>
      </c>
      <c r="P97" s="775">
        <f>+O$31</f>
        <v>119316.31818181818</v>
      </c>
      <c r="Q97" s="775">
        <f t="shared" si="11"/>
        <v>2127807.6742424201</v>
      </c>
      <c r="R97" s="757">
        <f>+O$28*Q97+P97</f>
        <v>498718.32708444167</v>
      </c>
      <c r="S97" s="661">
        <f>+U96</f>
        <v>1001086.2769696937</v>
      </c>
      <c r="T97" s="630">
        <f>+S$31</f>
        <v>58315.705454545445</v>
      </c>
      <c r="U97" s="630">
        <f t="shared" si="12"/>
        <v>942770.57151514827</v>
      </c>
      <c r="V97" s="662">
        <f>+S$28*U97+T97</f>
        <v>226417.85730643803</v>
      </c>
      <c r="W97" s="661">
        <f>+Y96</f>
        <v>13057029.723484855</v>
      </c>
      <c r="X97" s="630">
        <f>+W$31</f>
        <v>693293.61363636365</v>
      </c>
      <c r="Y97" s="630">
        <f t="shared" si="13"/>
        <v>12363736.109848492</v>
      </c>
      <c r="Z97" s="662">
        <f>+W$28*Y97+X97</f>
        <v>2897828.5320887733</v>
      </c>
      <c r="AA97" s="661">
        <f>+AC96</f>
        <v>8528263.1723484863</v>
      </c>
      <c r="AB97" s="630">
        <f>+AA$31</f>
        <v>450833.29545454547</v>
      </c>
      <c r="AC97" s="630">
        <f t="shared" si="14"/>
        <v>8077429.8768939404</v>
      </c>
      <c r="AD97" s="662">
        <f>+AA$28*AC97+AB97</f>
        <v>1891091.810902725</v>
      </c>
      <c r="AE97" s="661">
        <f>+AG96</f>
        <v>85060.897727272837</v>
      </c>
      <c r="AF97" s="630">
        <f>+AE$31</f>
        <v>4597.886363636364</v>
      </c>
      <c r="AG97" s="630">
        <f t="shared" si="15"/>
        <v>80463.011363636469</v>
      </c>
      <c r="AH97" s="662">
        <f>+AE$28*AG97+AF97</f>
        <v>18944.966940167964</v>
      </c>
      <c r="AI97" s="661">
        <f>+AK96</f>
        <v>5861690.7310606092</v>
      </c>
      <c r="AJ97" s="630">
        <f>+AI$31</f>
        <v>295547.43181818182</v>
      </c>
      <c r="AK97" s="630">
        <f t="shared" si="19"/>
        <v>5566143.2992424276</v>
      </c>
      <c r="AL97" s="662">
        <f>+AI$28*AK97+AJ97</f>
        <v>1288027.1446871264</v>
      </c>
      <c r="AM97" s="661">
        <f>+AO96</f>
        <v>2161904.8557954556</v>
      </c>
      <c r="AN97" s="630">
        <f>+AM$31</f>
        <v>110866.91568181818</v>
      </c>
      <c r="AO97" s="630">
        <f t="shared" si="16"/>
        <v>2051037.9401136374</v>
      </c>
      <c r="AP97" s="662">
        <f>+AM$28*AO97+AN97</f>
        <v>476580.37946640106</v>
      </c>
      <c r="AQ97" s="661">
        <f>+AS96</f>
        <v>17872411.686136357</v>
      </c>
      <c r="AR97" s="630">
        <f>+AQ$31</f>
        <v>904932.23727272719</v>
      </c>
      <c r="AS97" s="630">
        <f t="shared" si="17"/>
        <v>16967479.448863629</v>
      </c>
      <c r="AT97" s="662">
        <f>+AQ$28*AS97+AR97</f>
        <v>3930344.6684995447</v>
      </c>
      <c r="AU97" s="775"/>
      <c r="AV97" s="775"/>
      <c r="AW97" s="775"/>
      <c r="AX97" s="757"/>
      <c r="AY97" s="775"/>
      <c r="AZ97" s="775"/>
      <c r="BA97" s="775"/>
      <c r="BB97" s="757"/>
      <c r="BC97" s="775"/>
      <c r="BD97" s="775"/>
      <c r="BE97" s="775"/>
      <c r="BF97" s="757"/>
      <c r="BG97" s="775"/>
      <c r="BH97" s="775"/>
      <c r="BI97" s="775"/>
      <c r="BJ97" s="757"/>
      <c r="BK97" s="775"/>
      <c r="BL97" s="775"/>
      <c r="BM97" s="775"/>
      <c r="BN97" s="757"/>
      <c r="BO97" s="775"/>
      <c r="BP97" s="775"/>
      <c r="BQ97" s="775"/>
      <c r="BR97" s="757"/>
      <c r="BS97" s="661">
        <f>+BU96</f>
        <v>166217.72727272753</v>
      </c>
      <c r="BT97" s="630">
        <f>+BS$31</f>
        <v>8310.886363636364</v>
      </c>
      <c r="BU97" s="630">
        <f t="shared" si="18"/>
        <v>157906.84090909117</v>
      </c>
      <c r="BV97" s="662">
        <f>+BS$28*BU97+BT97</f>
        <v>36466.707674745441</v>
      </c>
      <c r="BW97" s="661">
        <f>+BY96</f>
        <v>11681034.852272741</v>
      </c>
      <c r="BX97" s="630">
        <f>+BW$31</f>
        <v>576841.22727272729</v>
      </c>
      <c r="BY97" s="630">
        <f t="shared" si="20"/>
        <v>11104193.625000015</v>
      </c>
      <c r="BZ97" s="662">
        <f>+BW$28*BY97+BX97</f>
        <v>2556791.4923119214</v>
      </c>
      <c r="CA97" s="661">
        <f>+CC96</f>
        <v>1102286.8800000018</v>
      </c>
      <c r="CB97" s="630">
        <f>+CA$31</f>
        <v>54433.919999999998</v>
      </c>
      <c r="CC97" s="630">
        <f t="shared" si="21"/>
        <v>1047852.9600000017</v>
      </c>
      <c r="CD97" s="662">
        <f>+CA$28*CC97+CB97</f>
        <v>241272.9482031042</v>
      </c>
      <c r="CE97" s="661">
        <f>+CG96</f>
        <v>95681.839090909256</v>
      </c>
      <c r="CF97" s="630">
        <f>+CE$31</f>
        <v>4725.0290909090909</v>
      </c>
      <c r="CG97" s="630">
        <f t="shared" si="22"/>
        <v>90956.810000000172</v>
      </c>
      <c r="CH97" s="662">
        <f>+CE$28*CG97+CF97</f>
        <v>20943.222518405248</v>
      </c>
      <c r="CI97" s="661">
        <f>+CK96</f>
        <v>262707.95454545412</v>
      </c>
      <c r="CJ97" s="630">
        <f>+CI$31</f>
        <v>12362.727272727272</v>
      </c>
      <c r="CK97" s="630">
        <f t="shared" si="24"/>
        <v>250345.22727272686</v>
      </c>
      <c r="CL97" s="662">
        <f>+CI$28*CK97+CJ97</f>
        <v>57000.916755840881</v>
      </c>
      <c r="CM97" s="661">
        <f>+CO96</f>
        <v>12213214.133806825</v>
      </c>
      <c r="CN97" s="630">
        <f>+CM$31</f>
        <v>483691.64886363636</v>
      </c>
      <c r="CO97" s="630">
        <f t="shared" si="35"/>
        <v>11729522.484943189</v>
      </c>
      <c r="CP97" s="662">
        <f>+CM$28*CO97+CN97</f>
        <v>2575142.1347917779</v>
      </c>
      <c r="CQ97" s="661">
        <f>+CS96</f>
        <v>51956701.081193164</v>
      </c>
      <c r="CR97" s="630">
        <f>+CQ$31</f>
        <v>2017735.9643181816</v>
      </c>
      <c r="CS97" s="630">
        <f t="shared" si="40"/>
        <v>49938965.116874985</v>
      </c>
      <c r="CT97" s="662">
        <f>+CQ$28*CS97+CR97</f>
        <v>10922179.686942801</v>
      </c>
      <c r="CU97" s="661">
        <f>+CW96</f>
        <v>17581079.685000025</v>
      </c>
      <c r="CV97" s="630">
        <f>+CU$31</f>
        <v>676195.37250000006</v>
      </c>
      <c r="CW97" s="630">
        <f t="shared" si="41"/>
        <v>16904884.312500026</v>
      </c>
      <c r="CX97" s="662">
        <f>+CU$28*CW97+CV97</f>
        <v>3690446.6819904083</v>
      </c>
      <c r="CY97" s="782">
        <f t="shared" si="25"/>
        <v>17537428.168891802</v>
      </c>
      <c r="CZ97" s="756"/>
      <c r="DA97" s="778">
        <f>+CY97</f>
        <v>17537428.168891802</v>
      </c>
      <c r="DD97" s="661"/>
      <c r="DE97" s="630"/>
      <c r="DF97" s="630"/>
      <c r="DG97" s="662"/>
      <c r="DH97" s="661"/>
      <c r="DI97" s="630"/>
      <c r="DJ97" s="630"/>
      <c r="DK97" s="662"/>
      <c r="DL97" s="661"/>
      <c r="DM97" s="630"/>
      <c r="DN97" s="630"/>
      <c r="DO97" s="662"/>
      <c r="DP97" s="661"/>
      <c r="DQ97" s="630"/>
      <c r="DR97" s="630"/>
      <c r="DS97" s="662"/>
      <c r="DT97" s="661"/>
      <c r="DU97" s="630"/>
      <c r="DV97" s="630"/>
      <c r="DW97" s="662"/>
      <c r="DX97" s="661"/>
      <c r="DY97" s="630"/>
      <c r="DZ97" s="630"/>
      <c r="EA97" s="662"/>
      <c r="EB97" s="661"/>
      <c r="EC97" s="630"/>
      <c r="ED97" s="630"/>
      <c r="EE97" s="662"/>
      <c r="EF97" s="661"/>
      <c r="EG97" s="630"/>
      <c r="EH97" s="630"/>
      <c r="EI97" s="662"/>
      <c r="EJ97" s="661"/>
      <c r="EK97" s="630"/>
      <c r="EL97" s="630"/>
      <c r="EM97" s="662"/>
      <c r="EN97" s="661"/>
      <c r="EO97" s="630"/>
      <c r="EP97" s="630"/>
      <c r="EQ97" s="662"/>
      <c r="ER97" s="661"/>
      <c r="ES97" s="630"/>
      <c r="ET97" s="630"/>
      <c r="EU97" s="662"/>
      <c r="EW97" s="661"/>
      <c r="EX97" s="630"/>
      <c r="EY97" s="630"/>
      <c r="EZ97" s="662"/>
      <c r="FA97" s="661"/>
      <c r="FB97" s="630"/>
      <c r="FC97" s="630"/>
      <c r="FD97" s="662"/>
    </row>
    <row r="98" spans="1:160">
      <c r="A98" s="753" t="s">
        <v>23</v>
      </c>
      <c r="B98" s="774">
        <v>2035</v>
      </c>
      <c r="C98" s="775">
        <f>+C97</f>
        <v>7912807.71761363</v>
      </c>
      <c r="D98" s="775">
        <f>+D97</f>
        <v>445791.98409090913</v>
      </c>
      <c r="E98" s="775">
        <f t="shared" si="6"/>
        <v>7467015.7335227206</v>
      </c>
      <c r="F98" s="757">
        <f>+C$29*E98+D98</f>
        <v>1836599.4314497446</v>
      </c>
      <c r="G98" s="775">
        <f>+G97</f>
        <v>2027213.1170454524</v>
      </c>
      <c r="H98" s="775">
        <f>+H97</f>
        <v>115840.74954545456</v>
      </c>
      <c r="I98" s="775">
        <f t="shared" si="7"/>
        <v>1911372.3674999978</v>
      </c>
      <c r="J98" s="757">
        <f>+G$29*I98+H98</f>
        <v>471853.24747824698</v>
      </c>
      <c r="K98" s="776">
        <f>+K97</f>
        <v>5115780.9990340872</v>
      </c>
      <c r="L98" s="775">
        <f>+L97</f>
        <v>305419.76113636367</v>
      </c>
      <c r="M98" s="775">
        <f t="shared" si="8"/>
        <v>4810361.2378977239</v>
      </c>
      <c r="N98" s="757">
        <f>+K$29*M98+L98</f>
        <v>1201398.3519030579</v>
      </c>
      <c r="O98" s="776">
        <f>+O97</f>
        <v>2247123.9924242385</v>
      </c>
      <c r="P98" s="775">
        <f>+P97</f>
        <v>119316.31818181818</v>
      </c>
      <c r="Q98" s="775">
        <f t="shared" si="11"/>
        <v>2127807.6742424201</v>
      </c>
      <c r="R98" s="757">
        <f>+O$29*Q98+P98</f>
        <v>515642.0881407219</v>
      </c>
      <c r="S98" s="661">
        <f>+S97</f>
        <v>1001086.2769696937</v>
      </c>
      <c r="T98" s="630">
        <f>+T97</f>
        <v>58315.705454545445</v>
      </c>
      <c r="U98" s="630">
        <f t="shared" si="12"/>
        <v>942770.57151514827</v>
      </c>
      <c r="V98" s="662">
        <f>+S$29*U98+T98</f>
        <v>233916.29058889896</v>
      </c>
      <c r="W98" s="661">
        <f>+W97</f>
        <v>13057029.723484855</v>
      </c>
      <c r="X98" s="630">
        <f>+X97</f>
        <v>693293.61363636365</v>
      </c>
      <c r="Y98" s="630">
        <f t="shared" si="13"/>
        <v>12363736.109848492</v>
      </c>
      <c r="Z98" s="662">
        <f>+W$29*Y98+X98</f>
        <v>2996164.9175708294</v>
      </c>
      <c r="AA98" s="661">
        <f>+AA97</f>
        <v>8528263.1723484863</v>
      </c>
      <c r="AB98" s="630">
        <f>+AB97</f>
        <v>450833.29545454547</v>
      </c>
      <c r="AC98" s="630">
        <f t="shared" si="14"/>
        <v>8077429.8768939404</v>
      </c>
      <c r="AD98" s="662">
        <f>+AA$29*AC98+AB98</f>
        <v>1955336.570821679</v>
      </c>
      <c r="AE98" s="661">
        <f>+AE97</f>
        <v>85060.897727272837</v>
      </c>
      <c r="AF98" s="630">
        <f>+AF97</f>
        <v>4597.886363636364</v>
      </c>
      <c r="AG98" s="630">
        <f t="shared" si="15"/>
        <v>80463.011363636469</v>
      </c>
      <c r="AH98" s="662">
        <f>+AE$29*AG98+AF98</f>
        <v>19584.938679470848</v>
      </c>
      <c r="AI98" s="661">
        <f>+AI97</f>
        <v>5861690.7310606092</v>
      </c>
      <c r="AJ98" s="630">
        <f>+AJ97</f>
        <v>295547.43181818182</v>
      </c>
      <c r="AK98" s="630">
        <f t="shared" si="19"/>
        <v>5566143.2992424276</v>
      </c>
      <c r="AL98" s="662">
        <f>+AI$29*AK98+AJ98</f>
        <v>1332298.1003480663</v>
      </c>
      <c r="AM98" s="661">
        <f>+AM97</f>
        <v>2161904.8557954556</v>
      </c>
      <c r="AN98" s="630">
        <f>+AN97</f>
        <v>110866.91568181818</v>
      </c>
      <c r="AO98" s="630">
        <f t="shared" si="16"/>
        <v>2051037.9401136374</v>
      </c>
      <c r="AP98" s="662">
        <f>+AM$29*AO98+AN98</f>
        <v>492893.54368515825</v>
      </c>
      <c r="AQ98" s="661">
        <f>+AQ97</f>
        <v>17872411.686136357</v>
      </c>
      <c r="AR98" s="630">
        <f>+AR97</f>
        <v>904932.23727272719</v>
      </c>
      <c r="AS98" s="630">
        <f t="shared" si="17"/>
        <v>16967479.448863629</v>
      </c>
      <c r="AT98" s="662">
        <f>+AQ$29*AS98+AR98</f>
        <v>4065297.4517778317</v>
      </c>
      <c r="AU98" s="775"/>
      <c r="AV98" s="775"/>
      <c r="AW98" s="775"/>
      <c r="AX98" s="757"/>
      <c r="AY98" s="775"/>
      <c r="AZ98" s="775"/>
      <c r="BA98" s="775"/>
      <c r="BB98" s="757"/>
      <c r="BC98" s="775"/>
      <c r="BD98" s="775"/>
      <c r="BE98" s="775"/>
      <c r="BF98" s="757"/>
      <c r="BG98" s="775"/>
      <c r="BH98" s="775"/>
      <c r="BI98" s="775"/>
      <c r="BJ98" s="757"/>
      <c r="BK98" s="775"/>
      <c r="BL98" s="775"/>
      <c r="BM98" s="775"/>
      <c r="BN98" s="757"/>
      <c r="BO98" s="775"/>
      <c r="BP98" s="775"/>
      <c r="BQ98" s="775"/>
      <c r="BR98" s="757"/>
      <c r="BS98" s="661">
        <f>+BS97</f>
        <v>166217.72727272753</v>
      </c>
      <c r="BT98" s="630">
        <f>+BT97</f>
        <v>8310.886363636364</v>
      </c>
      <c r="BU98" s="630">
        <f t="shared" si="18"/>
        <v>157906.84090909117</v>
      </c>
      <c r="BV98" s="662">
        <f>+BS$29*BU98+BT98</f>
        <v>37722.637746361979</v>
      </c>
      <c r="BW98" s="661">
        <f>+BW97</f>
        <v>11681034.852272741</v>
      </c>
      <c r="BX98" s="630">
        <f>+BX97</f>
        <v>576841.22727272729</v>
      </c>
      <c r="BY98" s="630">
        <f t="shared" si="20"/>
        <v>11104193.625000015</v>
      </c>
      <c r="BZ98" s="662">
        <f>+BW$29*BY98+BX98</f>
        <v>2556791.4923119214</v>
      </c>
      <c r="CA98" s="661">
        <f>+CA97</f>
        <v>1102286.8800000018</v>
      </c>
      <c r="CB98" s="630">
        <f>+CB97</f>
        <v>54433.919999999998</v>
      </c>
      <c r="CC98" s="630">
        <f t="shared" si="21"/>
        <v>1047852.9600000017</v>
      </c>
      <c r="CD98" s="662">
        <f>+CA$29*CC98+CB98</f>
        <v>249607.16624913592</v>
      </c>
      <c r="CE98" s="661">
        <f>+CE97</f>
        <v>95681.839090909256</v>
      </c>
      <c r="CF98" s="630">
        <f>+CF97</f>
        <v>4725.0290909090909</v>
      </c>
      <c r="CG98" s="630">
        <f t="shared" si="22"/>
        <v>90956.810000000172</v>
      </c>
      <c r="CH98" s="662">
        <f>+CE$29*CG98+CF98</f>
        <v>21666.657882190906</v>
      </c>
      <c r="CI98" s="661">
        <f>+CI97</f>
        <v>262707.95454545412</v>
      </c>
      <c r="CJ98" s="630">
        <f>+CJ97</f>
        <v>12362.727272727272</v>
      </c>
      <c r="CK98" s="630">
        <f t="shared" si="24"/>
        <v>250345.22727272686</v>
      </c>
      <c r="CL98" s="662">
        <f>+CI$29*CK98+CJ98</f>
        <v>57000.916755840881</v>
      </c>
      <c r="CM98" s="661">
        <f>+CM97</f>
        <v>12213214.133806825</v>
      </c>
      <c r="CN98" s="630">
        <f>+CN97</f>
        <v>483691.64886363636</v>
      </c>
      <c r="CO98" s="630">
        <f t="shared" si="35"/>
        <v>11729522.484943189</v>
      </c>
      <c r="CP98" s="662">
        <f>+CM$29*CO98+CN98</f>
        <v>2575142.1347917779</v>
      </c>
      <c r="CQ98" s="661">
        <f>+CQ97</f>
        <v>51956701.081193164</v>
      </c>
      <c r="CR98" s="630">
        <f>+CR97</f>
        <v>2017735.9643181816</v>
      </c>
      <c r="CS98" s="630">
        <f t="shared" si="40"/>
        <v>49938965.116874985</v>
      </c>
      <c r="CT98" s="662">
        <f>+CQ$29*CS98+CR98</f>
        <v>10922179.686942801</v>
      </c>
      <c r="CU98" s="661">
        <f>+CU97</f>
        <v>17581079.685000025</v>
      </c>
      <c r="CV98" s="630">
        <f>+CV97</f>
        <v>676195.37250000006</v>
      </c>
      <c r="CW98" s="630">
        <f t="shared" si="41"/>
        <v>16904884.312500026</v>
      </c>
      <c r="CX98" s="662">
        <f>+CU$29*CW98+CV98</f>
        <v>3690446.6819904083</v>
      </c>
      <c r="CY98" s="782">
        <f t="shared" si="25"/>
        <v>18043773.803389162</v>
      </c>
      <c r="CZ98" s="779">
        <f>+CY98</f>
        <v>18043773.803389162</v>
      </c>
      <c r="DA98" s="752"/>
      <c r="DD98" s="661"/>
      <c r="DE98" s="630"/>
      <c r="DF98" s="630"/>
      <c r="DG98" s="662"/>
      <c r="DH98" s="661"/>
      <c r="DI98" s="630"/>
      <c r="DJ98" s="630"/>
      <c r="DK98" s="662"/>
      <c r="DL98" s="661"/>
      <c r="DM98" s="630"/>
      <c r="DN98" s="630"/>
      <c r="DO98" s="662"/>
      <c r="DP98" s="661"/>
      <c r="DQ98" s="630"/>
      <c r="DR98" s="630"/>
      <c r="DS98" s="662"/>
      <c r="DT98" s="661"/>
      <c r="DU98" s="630"/>
      <c r="DV98" s="630"/>
      <c r="DW98" s="662"/>
      <c r="DX98" s="661"/>
      <c r="DY98" s="630"/>
      <c r="DZ98" s="630"/>
      <c r="EA98" s="662"/>
      <c r="EB98" s="661"/>
      <c r="EC98" s="630"/>
      <c r="ED98" s="630"/>
      <c r="EE98" s="662"/>
      <c r="EF98" s="661"/>
      <c r="EG98" s="630"/>
      <c r="EH98" s="630"/>
      <c r="EI98" s="662"/>
      <c r="EJ98" s="661"/>
      <c r="EK98" s="630"/>
      <c r="EL98" s="630"/>
      <c r="EM98" s="662"/>
      <c r="EN98" s="661"/>
      <c r="EO98" s="630"/>
      <c r="EP98" s="630"/>
      <c r="EQ98" s="662"/>
      <c r="ER98" s="661"/>
      <c r="ES98" s="630"/>
      <c r="ET98" s="630"/>
      <c r="EU98" s="662"/>
      <c r="EW98" s="661"/>
      <c r="EX98" s="630"/>
      <c r="EY98" s="630"/>
      <c r="EZ98" s="662"/>
      <c r="FA98" s="661"/>
      <c r="FB98" s="630"/>
      <c r="FC98" s="630"/>
      <c r="FD98" s="662"/>
    </row>
    <row r="99" spans="1:160">
      <c r="A99" s="753" t="s">
        <v>24</v>
      </c>
      <c r="B99" s="774">
        <v>2036</v>
      </c>
      <c r="C99" s="775">
        <f>+E98</f>
        <v>7467015.7335227206</v>
      </c>
      <c r="D99" s="775">
        <f>+C$31</f>
        <v>445791.98409090913</v>
      </c>
      <c r="E99" s="775">
        <f t="shared" si="6"/>
        <v>7021223.7494318113</v>
      </c>
      <c r="F99" s="757">
        <f>+C$28*E99+D99</f>
        <v>1697722.0470077451</v>
      </c>
      <c r="G99" s="775">
        <f>+I98</f>
        <v>1911372.3674999978</v>
      </c>
      <c r="H99" s="775">
        <f>+G$31</f>
        <v>115840.74954545456</v>
      </c>
      <c r="I99" s="775">
        <f t="shared" si="7"/>
        <v>1795531.6179545433</v>
      </c>
      <c r="J99" s="757">
        <f>+G$28*I99+H99</f>
        <v>435995.76691217907</v>
      </c>
      <c r="K99" s="776">
        <f>+M98</f>
        <v>4810361.2378977239</v>
      </c>
      <c r="L99" s="775">
        <f>+K$31</f>
        <v>305419.76113636367</v>
      </c>
      <c r="M99" s="775">
        <f t="shared" si="8"/>
        <v>4504941.4767613607</v>
      </c>
      <c r="N99" s="757">
        <f>+K$28*M99+L99</f>
        <v>1108680.2564161101</v>
      </c>
      <c r="O99" s="776">
        <f>+Q98</f>
        <v>2127807.6742424201</v>
      </c>
      <c r="P99" s="775">
        <f>+O$31</f>
        <v>119316.31818181818</v>
      </c>
      <c r="Q99" s="775">
        <f t="shared" si="11"/>
        <v>2008491.356060602</v>
      </c>
      <c r="R99" s="757">
        <f>+O$28*Q99+P99</f>
        <v>477443.44808055623</v>
      </c>
      <c r="S99" s="661">
        <f>+U98</f>
        <v>942770.57151514827</v>
      </c>
      <c r="T99" s="630">
        <f>+S$31</f>
        <v>58315.705454545445</v>
      </c>
      <c r="U99" s="630">
        <f t="shared" si="12"/>
        <v>884454.86606060283</v>
      </c>
      <c r="V99" s="662">
        <f>+S$28*U99+T99</f>
        <v>216019.78605786734</v>
      </c>
      <c r="W99" s="661">
        <f>+Y98</f>
        <v>12363736.109848492</v>
      </c>
      <c r="X99" s="630">
        <f>+W$31</f>
        <v>693293.61363636365</v>
      </c>
      <c r="Y99" s="630">
        <f t="shared" si="13"/>
        <v>11670442.496212129</v>
      </c>
      <c r="Z99" s="662">
        <f>+W$28*Y99+X99</f>
        <v>2774209.7516148067</v>
      </c>
      <c r="AA99" s="661">
        <f>+AC98</f>
        <v>8077429.8768939404</v>
      </c>
      <c r="AB99" s="630">
        <f>+AA$31</f>
        <v>450833.29545454547</v>
      </c>
      <c r="AC99" s="630">
        <f t="shared" si="14"/>
        <v>7626596.5814393945</v>
      </c>
      <c r="AD99" s="662">
        <f>+AA$28*AC99+AB99</f>
        <v>1810705.2891102685</v>
      </c>
      <c r="AE99" s="661">
        <f>+AG98</f>
        <v>80463.011363636469</v>
      </c>
      <c r="AF99" s="630">
        <f>+AE$31</f>
        <v>4597.886363636364</v>
      </c>
      <c r="AG99" s="630">
        <f t="shared" si="15"/>
        <v>75865.125000000102</v>
      </c>
      <c r="AH99" s="662">
        <f>+AE$28*AG99+AF99</f>
        <v>18125.133764366157</v>
      </c>
      <c r="AI99" s="661">
        <f>+AK98</f>
        <v>5566143.2992424276</v>
      </c>
      <c r="AJ99" s="630">
        <f>+AI$31</f>
        <v>295547.43181818182</v>
      </c>
      <c r="AK99" s="630">
        <f t="shared" si="19"/>
        <v>5270595.8674242459</v>
      </c>
      <c r="AL99" s="662">
        <f>+AI$28*AK99+AJ99</f>
        <v>1235329.106835678</v>
      </c>
      <c r="AM99" s="661">
        <f>+AO98</f>
        <v>2051037.9401136374</v>
      </c>
      <c r="AN99" s="630">
        <f>+AM$31</f>
        <v>110866.91568181818</v>
      </c>
      <c r="AO99" s="630">
        <f t="shared" si="16"/>
        <v>1940171.0244318191</v>
      </c>
      <c r="AP99" s="662">
        <f>+AM$28*AO99+AN99</f>
        <v>456812.0841266939</v>
      </c>
      <c r="AQ99" s="661">
        <f>+AS98</f>
        <v>16967479.448863629</v>
      </c>
      <c r="AR99" s="630">
        <f>+AQ$31</f>
        <v>904932.23727272719</v>
      </c>
      <c r="AS99" s="630">
        <f t="shared" si="17"/>
        <v>16062547.211590903</v>
      </c>
      <c r="AT99" s="662">
        <f>+AQ$28*AS99+AR99</f>
        <v>3768989.3388341144</v>
      </c>
      <c r="AU99" s="775"/>
      <c r="AV99" s="775"/>
      <c r="AW99" s="775"/>
      <c r="AX99" s="757"/>
      <c r="AY99" s="775"/>
      <c r="AZ99" s="775"/>
      <c r="BA99" s="775"/>
      <c r="BB99" s="757"/>
      <c r="BC99" s="775"/>
      <c r="BD99" s="775"/>
      <c r="BE99" s="775"/>
      <c r="BF99" s="757"/>
      <c r="BG99" s="775"/>
      <c r="BH99" s="775"/>
      <c r="BI99" s="775"/>
      <c r="BJ99" s="757"/>
      <c r="BK99" s="775"/>
      <c r="BL99" s="775"/>
      <c r="BM99" s="775"/>
      <c r="BN99" s="757"/>
      <c r="BO99" s="775"/>
      <c r="BP99" s="775"/>
      <c r="BQ99" s="775"/>
      <c r="BR99" s="757"/>
      <c r="BS99" s="661">
        <f>+BU98</f>
        <v>157906.84090909117</v>
      </c>
      <c r="BT99" s="630">
        <f>+BS$31</f>
        <v>8310.886363636364</v>
      </c>
      <c r="BU99" s="630">
        <f t="shared" si="18"/>
        <v>149595.95454545482</v>
      </c>
      <c r="BV99" s="662">
        <f>+BS$28*BU99+BT99</f>
        <v>34984.8223425818</v>
      </c>
      <c r="BW99" s="661">
        <f>+BY98</f>
        <v>11104193.625000015</v>
      </c>
      <c r="BX99" s="630">
        <f>+BW$31</f>
        <v>576841.22727272729</v>
      </c>
      <c r="BY99" s="630">
        <f t="shared" si="20"/>
        <v>10527352.397727288</v>
      </c>
      <c r="BZ99" s="662">
        <f>+BW$28*BY99+BX99</f>
        <v>2453936.9330891063</v>
      </c>
      <c r="CA99" s="661">
        <f>+CC98</f>
        <v>1047852.9600000017</v>
      </c>
      <c r="CB99" s="630">
        <f>+CA$31</f>
        <v>54433.919999999998</v>
      </c>
      <c r="CC99" s="630">
        <f t="shared" si="21"/>
        <v>993419.04000000167</v>
      </c>
      <c r="CD99" s="662">
        <f>+CA$28*CC99+CB99</f>
        <v>231567.02466008579</v>
      </c>
      <c r="CE99" s="661">
        <f>+CG98</f>
        <v>90956.810000000172</v>
      </c>
      <c r="CF99" s="630">
        <f>+CE$31</f>
        <v>4725.0290909090909</v>
      </c>
      <c r="CG99" s="630">
        <f t="shared" si="22"/>
        <v>86231.780909091089</v>
      </c>
      <c r="CH99" s="662">
        <f>+CE$28*CG99+CF99</f>
        <v>20100.718963730127</v>
      </c>
      <c r="CI99" s="661">
        <f>+CK98</f>
        <v>250345.22727272686</v>
      </c>
      <c r="CJ99" s="630">
        <f>+CI$31</f>
        <v>12362.727272727272</v>
      </c>
      <c r="CK99" s="630">
        <f t="shared" si="24"/>
        <v>237982.49999999959</v>
      </c>
      <c r="CL99" s="662">
        <f>+CI$28*CK99+CJ99</f>
        <v>54796.561719637735</v>
      </c>
      <c r="CM99" s="661">
        <f>+CO98</f>
        <v>11729522.484943189</v>
      </c>
      <c r="CN99" s="630">
        <f>+CM$31</f>
        <v>483691.64886363636</v>
      </c>
      <c r="CO99" s="630">
        <f t="shared" si="35"/>
        <v>11245830.836079553</v>
      </c>
      <c r="CP99" s="662">
        <f>+CM$28*CO99+CN99</f>
        <v>2488896.7539287619</v>
      </c>
      <c r="CQ99" s="661">
        <f>+CS98</f>
        <v>49938965.116874985</v>
      </c>
      <c r="CR99" s="630">
        <f>+CQ$31</f>
        <v>2017735.9643181816</v>
      </c>
      <c r="CS99" s="630">
        <f t="shared" si="40"/>
        <v>47921229.152556807</v>
      </c>
      <c r="CT99" s="662">
        <f>+CQ$28*CS99+CR99</f>
        <v>10562404.182998372</v>
      </c>
      <c r="CU99" s="661">
        <f>+CW98</f>
        <v>16904884.312500026</v>
      </c>
      <c r="CV99" s="630">
        <f>+CU$31</f>
        <v>676195.37250000006</v>
      </c>
      <c r="CW99" s="630">
        <f t="shared" si="41"/>
        <v>16228688.940000026</v>
      </c>
      <c r="CX99" s="662">
        <f>+CU$28*CW99+CV99</f>
        <v>3569876.6296107923</v>
      </c>
      <c r="CY99" s="782">
        <f t="shared" si="25"/>
        <v>16795418.069535527</v>
      </c>
      <c r="CZ99" s="756"/>
      <c r="DA99" s="778">
        <f>+CY99</f>
        <v>16795418.069535527</v>
      </c>
      <c r="DD99" s="661"/>
      <c r="DE99" s="630"/>
      <c r="DF99" s="630"/>
      <c r="DG99" s="662"/>
      <c r="DH99" s="661"/>
      <c r="DI99" s="630"/>
      <c r="DJ99" s="630"/>
      <c r="DK99" s="662"/>
      <c r="DL99" s="661"/>
      <c r="DM99" s="630"/>
      <c r="DN99" s="630"/>
      <c r="DO99" s="662"/>
      <c r="DP99" s="661"/>
      <c r="DQ99" s="630"/>
      <c r="DR99" s="630"/>
      <c r="DS99" s="662"/>
      <c r="DT99" s="661"/>
      <c r="DU99" s="630"/>
      <c r="DV99" s="630"/>
      <c r="DW99" s="662"/>
      <c r="DX99" s="661"/>
      <c r="DY99" s="630"/>
      <c r="DZ99" s="630"/>
      <c r="EA99" s="662"/>
      <c r="EB99" s="661"/>
      <c r="EC99" s="630"/>
      <c r="ED99" s="630"/>
      <c r="EE99" s="662"/>
      <c r="EF99" s="661"/>
      <c r="EG99" s="630"/>
      <c r="EH99" s="630"/>
      <c r="EI99" s="662"/>
      <c r="EJ99" s="661"/>
      <c r="EK99" s="630"/>
      <c r="EL99" s="630"/>
      <c r="EM99" s="662"/>
      <c r="EN99" s="661"/>
      <c r="EO99" s="630"/>
      <c r="EP99" s="630"/>
      <c r="EQ99" s="662"/>
      <c r="ER99" s="661"/>
      <c r="ES99" s="630"/>
      <c r="ET99" s="630"/>
      <c r="EU99" s="662"/>
      <c r="EW99" s="661"/>
      <c r="EX99" s="630"/>
      <c r="EY99" s="630"/>
      <c r="EZ99" s="662"/>
      <c r="FA99" s="661"/>
      <c r="FB99" s="630"/>
      <c r="FC99" s="630"/>
      <c r="FD99" s="662"/>
    </row>
    <row r="100" spans="1:160">
      <c r="A100" s="753" t="s">
        <v>23</v>
      </c>
      <c r="B100" s="774">
        <v>2036</v>
      </c>
      <c r="C100" s="775">
        <f>+C99</f>
        <v>7467015.7335227206</v>
      </c>
      <c r="D100" s="775">
        <f>+D99</f>
        <v>445791.98409090913</v>
      </c>
      <c r="E100" s="775">
        <f t="shared" si="6"/>
        <v>7021223.7494318113</v>
      </c>
      <c r="F100" s="757">
        <f>+C$29*E100+D100</f>
        <v>1753566.1510104109</v>
      </c>
      <c r="G100" s="775">
        <f>+G99</f>
        <v>1911372.3674999978</v>
      </c>
      <c r="H100" s="775">
        <f>+H99</f>
        <v>115840.74954545456</v>
      </c>
      <c r="I100" s="775">
        <f t="shared" si="7"/>
        <v>1795531.6179545433</v>
      </c>
      <c r="J100" s="757">
        <f>+G$29*I100+H100</f>
        <v>450276.73245201708</v>
      </c>
      <c r="K100" s="776">
        <f>+K99</f>
        <v>4810361.2378977239</v>
      </c>
      <c r="L100" s="775">
        <f>+L99</f>
        <v>305419.76113636367</v>
      </c>
      <c r="M100" s="775">
        <f t="shared" si="8"/>
        <v>4504941.4767613607</v>
      </c>
      <c r="N100" s="757">
        <f>+K$29*M100+L100</f>
        <v>1144510.8223305694</v>
      </c>
      <c r="O100" s="776">
        <f>+O99</f>
        <v>2127807.6742424201</v>
      </c>
      <c r="P100" s="775">
        <f>+P99</f>
        <v>119316.31818181818</v>
      </c>
      <c r="Q100" s="775">
        <f t="shared" si="11"/>
        <v>2008491.356060602</v>
      </c>
      <c r="R100" s="757">
        <f>+O$29*Q100+P100</f>
        <v>493418.21318975533</v>
      </c>
      <c r="S100" s="661">
        <f>+S99</f>
        <v>942770.57151514827</v>
      </c>
      <c r="T100" s="630">
        <f>+T99</f>
        <v>58315.705454545445</v>
      </c>
      <c r="U100" s="630">
        <f t="shared" si="12"/>
        <v>884454.86606060283</v>
      </c>
      <c r="V100" s="662">
        <f>+S$29*U100+T100</f>
        <v>223054.39872491831</v>
      </c>
      <c r="W100" s="661">
        <f>+W99</f>
        <v>12363736.109848492</v>
      </c>
      <c r="X100" s="630">
        <f>+X99</f>
        <v>693293.61363636365</v>
      </c>
      <c r="Y100" s="630">
        <f t="shared" si="13"/>
        <v>11670442.496212129</v>
      </c>
      <c r="Z100" s="662">
        <f>+W$29*Y100+X100</f>
        <v>2867031.9472567472</v>
      </c>
      <c r="AA100" s="661">
        <f>+AA99</f>
        <v>8077429.8768939404</v>
      </c>
      <c r="AB100" s="630">
        <f>+AB99</f>
        <v>450833.29545454547</v>
      </c>
      <c r="AC100" s="630">
        <f t="shared" si="14"/>
        <v>7626596.5814393945</v>
      </c>
      <c r="AD100" s="662">
        <f>+AA$29*AC100+AB100</f>
        <v>1871364.2949872343</v>
      </c>
      <c r="AE100" s="661">
        <f>+AE99</f>
        <v>80463.011363636469</v>
      </c>
      <c r="AF100" s="630">
        <f>+AF99</f>
        <v>4597.886363636364</v>
      </c>
      <c r="AG100" s="630">
        <f t="shared" si="15"/>
        <v>75865.125000000102</v>
      </c>
      <c r="AH100" s="662">
        <f>+AE$29*AG100+AF100</f>
        <v>18728.535689994591</v>
      </c>
      <c r="AI100" s="661">
        <f>+AI99</f>
        <v>5566143.2992424276</v>
      </c>
      <c r="AJ100" s="630">
        <f>+AJ99</f>
        <v>295547.43181818182</v>
      </c>
      <c r="AK100" s="630">
        <f t="shared" si="19"/>
        <v>5270595.8674242459</v>
      </c>
      <c r="AL100" s="662">
        <f>+AI$29*AK100+AJ100</f>
        <v>1277249.3922845328</v>
      </c>
      <c r="AM100" s="661">
        <f>+AM99</f>
        <v>2051037.9401136374</v>
      </c>
      <c r="AN100" s="630">
        <f>+AN99</f>
        <v>110866.91568181818</v>
      </c>
      <c r="AO100" s="630">
        <f t="shared" si="16"/>
        <v>1940171.0244318191</v>
      </c>
      <c r="AP100" s="662">
        <f>+AM$29*AO100+AN100</f>
        <v>472243.4556849777</v>
      </c>
      <c r="AQ100" s="661">
        <f>+AQ99</f>
        <v>16967479.448863629</v>
      </c>
      <c r="AR100" s="630">
        <f>+AR99</f>
        <v>904932.23727272719</v>
      </c>
      <c r="AS100" s="630">
        <f t="shared" si="17"/>
        <v>16062547.211590903</v>
      </c>
      <c r="AT100" s="662">
        <f>+AQ$29*AS100+AR100</f>
        <v>3896744.6403375599</v>
      </c>
      <c r="AU100" s="775"/>
      <c r="AV100" s="775"/>
      <c r="AW100" s="775"/>
      <c r="AX100" s="757"/>
      <c r="AY100" s="775"/>
      <c r="AZ100" s="775"/>
      <c r="BA100" s="775"/>
      <c r="BB100" s="757"/>
      <c r="BC100" s="775"/>
      <c r="BD100" s="775"/>
      <c r="BE100" s="775"/>
      <c r="BF100" s="757"/>
      <c r="BG100" s="775"/>
      <c r="BH100" s="775"/>
      <c r="BI100" s="775"/>
      <c r="BJ100" s="757"/>
      <c r="BK100" s="775"/>
      <c r="BL100" s="775"/>
      <c r="BM100" s="775"/>
      <c r="BN100" s="757"/>
      <c r="BO100" s="775"/>
      <c r="BP100" s="775"/>
      <c r="BQ100" s="775"/>
      <c r="BR100" s="757"/>
      <c r="BS100" s="661">
        <f>+BS99</f>
        <v>157906.84090909117</v>
      </c>
      <c r="BT100" s="630">
        <f>+BT99</f>
        <v>8310.886363636364</v>
      </c>
      <c r="BU100" s="630">
        <f t="shared" si="18"/>
        <v>149595.95454545482</v>
      </c>
      <c r="BV100" s="662">
        <f>+BS$29*BU100+BT100</f>
        <v>36174.650831481689</v>
      </c>
      <c r="BW100" s="661">
        <f>+BW99</f>
        <v>11104193.625000015</v>
      </c>
      <c r="BX100" s="630">
        <f>+BX99</f>
        <v>576841.22727272729</v>
      </c>
      <c r="BY100" s="630">
        <f t="shared" si="20"/>
        <v>10527352.397727288</v>
      </c>
      <c r="BZ100" s="662">
        <f>+BW$29*BY100+BX100</f>
        <v>2453936.9330891063</v>
      </c>
      <c r="CA100" s="661">
        <f>+CA99</f>
        <v>1047852.9600000017</v>
      </c>
      <c r="CB100" s="630">
        <f>+CB99</f>
        <v>54433.919999999998</v>
      </c>
      <c r="CC100" s="630">
        <f t="shared" si="21"/>
        <v>993419.04000000167</v>
      </c>
      <c r="CD100" s="662">
        <f>+CA$29*CC100+CB100</f>
        <v>239468.29631411587</v>
      </c>
      <c r="CE100" s="661">
        <f>+CE99</f>
        <v>90956.810000000172</v>
      </c>
      <c r="CF100" s="630">
        <f>+CF99</f>
        <v>4725.0290909090909</v>
      </c>
      <c r="CG100" s="630">
        <f t="shared" si="22"/>
        <v>86231.780909091089</v>
      </c>
      <c r="CH100" s="662">
        <f>+CE$29*CG100+CF100</f>
        <v>20786.57326965679</v>
      </c>
      <c r="CI100" s="661">
        <f>+CI99</f>
        <v>250345.22727272686</v>
      </c>
      <c r="CJ100" s="630">
        <f>+CJ99</f>
        <v>12362.727272727272</v>
      </c>
      <c r="CK100" s="630">
        <f t="shared" si="24"/>
        <v>237982.49999999959</v>
      </c>
      <c r="CL100" s="662">
        <f>+CI$29*CK100+CJ100</f>
        <v>54796.561719637735</v>
      </c>
      <c r="CM100" s="661">
        <f>+CM99</f>
        <v>11729522.484943189</v>
      </c>
      <c r="CN100" s="630">
        <f>+CN99</f>
        <v>483691.64886363636</v>
      </c>
      <c r="CO100" s="630">
        <f t="shared" si="35"/>
        <v>11245830.836079553</v>
      </c>
      <c r="CP100" s="662">
        <f>+CM$29*CO100+CN100</f>
        <v>2488896.7539287619</v>
      </c>
      <c r="CQ100" s="661">
        <f>+CQ99</f>
        <v>49938965.116874985</v>
      </c>
      <c r="CR100" s="630">
        <f>+CR99</f>
        <v>2017735.9643181816</v>
      </c>
      <c r="CS100" s="630">
        <f t="shared" si="40"/>
        <v>47921229.152556807</v>
      </c>
      <c r="CT100" s="662">
        <f>+CQ$29*CS100+CR100</f>
        <v>10562404.182998372</v>
      </c>
      <c r="CU100" s="661">
        <f>+CU99</f>
        <v>16904884.312500026</v>
      </c>
      <c r="CV100" s="630">
        <f>+CV99</f>
        <v>676195.37250000006</v>
      </c>
      <c r="CW100" s="630">
        <f t="shared" si="41"/>
        <v>16228688.940000026</v>
      </c>
      <c r="CX100" s="662">
        <f>+CU$29*CW100+CV100</f>
        <v>3569876.6296107923</v>
      </c>
      <c r="CY100" s="782">
        <f t="shared" si="25"/>
        <v>17273351.599172719</v>
      </c>
      <c r="CZ100" s="779">
        <f>+CY100</f>
        <v>17273351.599172719</v>
      </c>
      <c r="DA100" s="752"/>
      <c r="DD100" s="661"/>
      <c r="DE100" s="630"/>
      <c r="DF100" s="630"/>
      <c r="DG100" s="662"/>
      <c r="DH100" s="661"/>
      <c r="DI100" s="630"/>
      <c r="DJ100" s="630"/>
      <c r="DK100" s="662"/>
      <c r="DL100" s="661"/>
      <c r="DM100" s="630"/>
      <c r="DN100" s="630"/>
      <c r="DO100" s="662"/>
      <c r="DP100" s="661"/>
      <c r="DQ100" s="630"/>
      <c r="DR100" s="630"/>
      <c r="DS100" s="662"/>
      <c r="DT100" s="661"/>
      <c r="DU100" s="630"/>
      <c r="DV100" s="630"/>
      <c r="DW100" s="662"/>
      <c r="DX100" s="661"/>
      <c r="DY100" s="630"/>
      <c r="DZ100" s="630"/>
      <c r="EA100" s="662"/>
      <c r="EB100" s="661"/>
      <c r="EC100" s="630"/>
      <c r="ED100" s="630"/>
      <c r="EE100" s="662"/>
      <c r="EF100" s="661"/>
      <c r="EG100" s="630"/>
      <c r="EH100" s="630"/>
      <c r="EI100" s="662"/>
      <c r="EJ100" s="661"/>
      <c r="EK100" s="630"/>
      <c r="EL100" s="630"/>
      <c r="EM100" s="662"/>
      <c r="EN100" s="661"/>
      <c r="EO100" s="630"/>
      <c r="EP100" s="630"/>
      <c r="EQ100" s="662"/>
      <c r="ER100" s="661"/>
      <c r="ES100" s="630"/>
      <c r="ET100" s="630"/>
      <c r="EU100" s="662"/>
      <c r="EW100" s="661"/>
      <c r="EX100" s="630"/>
      <c r="EY100" s="630"/>
      <c r="EZ100" s="662"/>
      <c r="FA100" s="661"/>
      <c r="FB100" s="630"/>
      <c r="FC100" s="630"/>
      <c r="FD100" s="662"/>
    </row>
    <row r="101" spans="1:160">
      <c r="A101" s="753" t="s">
        <v>24</v>
      </c>
      <c r="B101" s="774">
        <v>2037</v>
      </c>
      <c r="C101" s="775">
        <f>+E100</f>
        <v>7021223.7494318113</v>
      </c>
      <c r="D101" s="775">
        <f>+C$31</f>
        <v>445791.98409090913</v>
      </c>
      <c r="E101" s="775">
        <f t="shared" si="6"/>
        <v>6575431.7653409019</v>
      </c>
      <c r="F101" s="757">
        <f>+C$28*E101+D101</f>
        <v>1618234.4239654064</v>
      </c>
      <c r="G101" s="775">
        <f>+I100</f>
        <v>1795531.6179545433</v>
      </c>
      <c r="H101" s="775">
        <f>+G$31</f>
        <v>115840.74954545456</v>
      </c>
      <c r="I101" s="775">
        <f t="shared" si="7"/>
        <v>1679690.8684090888</v>
      </c>
      <c r="J101" s="757">
        <f>+G$28*I101+H101</f>
        <v>415340.60450142261</v>
      </c>
      <c r="K101" s="776">
        <f>+M100</f>
        <v>4504941.4767613607</v>
      </c>
      <c r="L101" s="775">
        <f>+K$31</f>
        <v>305419.76113636367</v>
      </c>
      <c r="M101" s="775">
        <f t="shared" si="8"/>
        <v>4199521.7156249974</v>
      </c>
      <c r="N101" s="757">
        <f>+K$28*M101+L101</f>
        <v>1054221.9177530764</v>
      </c>
      <c r="O101" s="776">
        <f>+Q100</f>
        <v>2008491.356060602</v>
      </c>
      <c r="P101" s="775">
        <f>+O$31</f>
        <v>119316.31818181818</v>
      </c>
      <c r="Q101" s="775">
        <f t="shared" si="11"/>
        <v>1889175.0378787839</v>
      </c>
      <c r="R101" s="757">
        <f>+O$28*Q101+P101</f>
        <v>456168.56907667074</v>
      </c>
      <c r="S101" s="661">
        <f>+U100</f>
        <v>884454.86606060283</v>
      </c>
      <c r="T101" s="630">
        <f>+S$31</f>
        <v>58315.705454545445</v>
      </c>
      <c r="U101" s="630">
        <f t="shared" si="12"/>
        <v>826139.16060605738</v>
      </c>
      <c r="V101" s="662">
        <f>+S$28*U101+T101</f>
        <v>205621.71480929662</v>
      </c>
      <c r="W101" s="661">
        <f>+Y100</f>
        <v>11670442.496212129</v>
      </c>
      <c r="X101" s="630">
        <f>+W$31</f>
        <v>693293.61363636365</v>
      </c>
      <c r="Y101" s="630">
        <f t="shared" si="13"/>
        <v>10977148.882575765</v>
      </c>
      <c r="Z101" s="662">
        <f>+W$28*Y101+X101</f>
        <v>2650590.9711408396</v>
      </c>
      <c r="AA101" s="661">
        <f>+AC100</f>
        <v>7626596.5814393945</v>
      </c>
      <c r="AB101" s="630">
        <f>+AA$31</f>
        <v>450833.29545454547</v>
      </c>
      <c r="AC101" s="630">
        <f t="shared" si="14"/>
        <v>7175763.2859848486</v>
      </c>
      <c r="AD101" s="662">
        <f>+AA$28*AC101+AB101</f>
        <v>1730318.767317812</v>
      </c>
      <c r="AE101" s="661">
        <f>+AG100</f>
        <v>75865.125000000102</v>
      </c>
      <c r="AF101" s="630">
        <f>+AE$31</f>
        <v>4597.886363636364</v>
      </c>
      <c r="AG101" s="630">
        <f t="shared" si="15"/>
        <v>71267.238636363734</v>
      </c>
      <c r="AH101" s="662">
        <f>+AE$28*AG101+AF101</f>
        <v>17305.300588564351</v>
      </c>
      <c r="AI101" s="661">
        <f>+AK100</f>
        <v>5270595.8674242459</v>
      </c>
      <c r="AJ101" s="630">
        <f>+AI$31</f>
        <v>295547.43181818182</v>
      </c>
      <c r="AK101" s="630">
        <f t="shared" si="19"/>
        <v>4975048.4356060643</v>
      </c>
      <c r="AL101" s="662">
        <f>+AI$28*AK101+AJ101</f>
        <v>1182631.0689842296</v>
      </c>
      <c r="AM101" s="661">
        <f>+AO100</f>
        <v>1940171.0244318191</v>
      </c>
      <c r="AN101" s="630">
        <f>+AM$31</f>
        <v>110866.91568181818</v>
      </c>
      <c r="AO101" s="630">
        <f t="shared" si="16"/>
        <v>1829304.1087500008</v>
      </c>
      <c r="AP101" s="662">
        <f>+AM$28*AO101+AN101</f>
        <v>437043.78878698673</v>
      </c>
      <c r="AQ101" s="661">
        <f>+AS100</f>
        <v>16062547.211590903</v>
      </c>
      <c r="AR101" s="630">
        <f>+AQ$31</f>
        <v>904932.23727272719</v>
      </c>
      <c r="AS101" s="630">
        <f t="shared" si="17"/>
        <v>15157614.974318177</v>
      </c>
      <c r="AT101" s="662">
        <f>+AQ$28*AS101+AR101</f>
        <v>3607634.0091686845</v>
      </c>
      <c r="AU101" s="775"/>
      <c r="AV101" s="775"/>
      <c r="AW101" s="775"/>
      <c r="AX101" s="757"/>
      <c r="AY101" s="775"/>
      <c r="AZ101" s="775"/>
      <c r="BA101" s="775"/>
      <c r="BB101" s="757"/>
      <c r="BC101" s="775"/>
      <c r="BD101" s="775"/>
      <c r="BE101" s="775"/>
      <c r="BF101" s="757"/>
      <c r="BG101" s="775"/>
      <c r="BH101" s="775"/>
      <c r="BI101" s="775"/>
      <c r="BJ101" s="757"/>
      <c r="BK101" s="775"/>
      <c r="BL101" s="775"/>
      <c r="BM101" s="775"/>
      <c r="BN101" s="757"/>
      <c r="BO101" s="775"/>
      <c r="BP101" s="775"/>
      <c r="BQ101" s="775"/>
      <c r="BR101" s="757"/>
      <c r="BS101" s="661">
        <f>+BU100</f>
        <v>149595.95454545482</v>
      </c>
      <c r="BT101" s="630">
        <f>+BS$31</f>
        <v>8310.886363636364</v>
      </c>
      <c r="BU101" s="630">
        <f t="shared" si="18"/>
        <v>141285.06818181847</v>
      </c>
      <c r="BV101" s="662">
        <f>+BS$28*BU101+BT101</f>
        <v>33502.937010418173</v>
      </c>
      <c r="BW101" s="661">
        <f>+BY100</f>
        <v>10527352.397727288</v>
      </c>
      <c r="BX101" s="630">
        <f>+BW$31</f>
        <v>576841.22727272729</v>
      </c>
      <c r="BY101" s="630">
        <f t="shared" si="20"/>
        <v>9950511.1704545617</v>
      </c>
      <c r="BZ101" s="662">
        <f>+BW$28*BY101+BX101</f>
        <v>2351082.3738662913</v>
      </c>
      <c r="CA101" s="661">
        <f>+CC100</f>
        <v>993419.04000000167</v>
      </c>
      <c r="CB101" s="630">
        <f>+CA$31</f>
        <v>54433.919999999998</v>
      </c>
      <c r="CC101" s="630">
        <f t="shared" si="21"/>
        <v>938985.12000000163</v>
      </c>
      <c r="CD101" s="662">
        <f>+CA$28*CC101+CB101</f>
        <v>221861.10111706739</v>
      </c>
      <c r="CE101" s="661">
        <f>+CG100</f>
        <v>86231.780909091089</v>
      </c>
      <c r="CF101" s="630">
        <f>+CE$31</f>
        <v>4725.0290909090909</v>
      </c>
      <c r="CG101" s="630">
        <f t="shared" si="22"/>
        <v>81506.751818182005</v>
      </c>
      <c r="CH101" s="662">
        <f>+CE$28*CG101+CF101</f>
        <v>19258.215409055003</v>
      </c>
      <c r="CI101" s="661">
        <f>+CK100</f>
        <v>237982.49999999959</v>
      </c>
      <c r="CJ101" s="630">
        <f>+CI$31</f>
        <v>12362.727272727272</v>
      </c>
      <c r="CK101" s="630">
        <f t="shared" si="24"/>
        <v>225619.77272727233</v>
      </c>
      <c r="CL101" s="662">
        <f>+CI$28*CK101+CJ101</f>
        <v>52592.20668343459</v>
      </c>
      <c r="CM101" s="661">
        <f>+CO100</f>
        <v>11245830.836079553</v>
      </c>
      <c r="CN101" s="630">
        <f>+CM$31</f>
        <v>483691.64886363636</v>
      </c>
      <c r="CO101" s="630">
        <f t="shared" si="35"/>
        <v>10762139.187215917</v>
      </c>
      <c r="CP101" s="662">
        <f>+CM$28*CO101+CN101</f>
        <v>2402651.3730657459</v>
      </c>
      <c r="CQ101" s="661">
        <f>+CS100</f>
        <v>47921229.152556807</v>
      </c>
      <c r="CR101" s="630">
        <f>+CQ$31</f>
        <v>2017735.9643181816</v>
      </c>
      <c r="CS101" s="630">
        <f t="shared" si="40"/>
        <v>45903493.188238628</v>
      </c>
      <c r="CT101" s="662">
        <f>+CQ$28*CS101+CR101</f>
        <v>10202628.679053944</v>
      </c>
      <c r="CU101" s="661">
        <f>+CW100</f>
        <v>16228688.940000026</v>
      </c>
      <c r="CV101" s="630">
        <f>+CU$31</f>
        <v>676195.37250000006</v>
      </c>
      <c r="CW101" s="630">
        <f t="shared" si="41"/>
        <v>15552493.567500025</v>
      </c>
      <c r="CX101" s="662">
        <f>+CU$28*CW101+CV101</f>
        <v>3449306.5772311762</v>
      </c>
      <c r="CY101" s="782">
        <f t="shared" si="25"/>
        <v>16053407.970179256</v>
      </c>
      <c r="CZ101" s="756"/>
      <c r="DA101" s="778">
        <f>+CY101</f>
        <v>16053407.970179256</v>
      </c>
      <c r="DD101" s="661"/>
      <c r="DE101" s="630"/>
      <c r="DF101" s="630"/>
      <c r="DG101" s="662"/>
      <c r="DH101" s="661"/>
      <c r="DI101" s="630"/>
      <c r="DJ101" s="630"/>
      <c r="DK101" s="662"/>
      <c r="DL101" s="661"/>
      <c r="DM101" s="630"/>
      <c r="DN101" s="630"/>
      <c r="DO101" s="662"/>
      <c r="DP101" s="661"/>
      <c r="DQ101" s="630"/>
      <c r="DR101" s="630"/>
      <c r="DS101" s="662"/>
      <c r="DT101" s="661"/>
      <c r="DU101" s="630"/>
      <c r="DV101" s="630"/>
      <c r="DW101" s="662"/>
      <c r="DX101" s="661"/>
      <c r="DY101" s="630"/>
      <c r="DZ101" s="630"/>
      <c r="EA101" s="662"/>
      <c r="EB101" s="661"/>
      <c r="EC101" s="630"/>
      <c r="ED101" s="630"/>
      <c r="EE101" s="662"/>
      <c r="EF101" s="661"/>
      <c r="EG101" s="630"/>
      <c r="EH101" s="630"/>
      <c r="EI101" s="662"/>
      <c r="EJ101" s="661"/>
      <c r="EK101" s="630"/>
      <c r="EL101" s="630"/>
      <c r="EM101" s="662"/>
      <c r="EN101" s="661"/>
      <c r="EO101" s="630"/>
      <c r="EP101" s="630"/>
      <c r="EQ101" s="662"/>
      <c r="ER101" s="661"/>
      <c r="ES101" s="630"/>
      <c r="ET101" s="630"/>
      <c r="EU101" s="662"/>
      <c r="EW101" s="661"/>
      <c r="EX101" s="630"/>
      <c r="EY101" s="630"/>
      <c r="EZ101" s="662"/>
      <c r="FA101" s="661"/>
      <c r="FB101" s="630"/>
      <c r="FC101" s="630"/>
      <c r="FD101" s="662"/>
    </row>
    <row r="102" spans="1:160">
      <c r="A102" s="753" t="s">
        <v>23</v>
      </c>
      <c r="B102" s="774">
        <v>2037</v>
      </c>
      <c r="C102" s="775">
        <f>+C101</f>
        <v>7021223.7494318113</v>
      </c>
      <c r="D102" s="775">
        <f>+D101</f>
        <v>445791.98409090913</v>
      </c>
      <c r="E102" s="775">
        <f t="shared" si="6"/>
        <v>6575431.7653409019</v>
      </c>
      <c r="F102" s="757">
        <f>+C$29*E102+D102</f>
        <v>1670532.8705710773</v>
      </c>
      <c r="G102" s="775">
        <f>+G101</f>
        <v>1795531.6179545433</v>
      </c>
      <c r="H102" s="775">
        <f>+H101</f>
        <v>115840.74954545456</v>
      </c>
      <c r="I102" s="775">
        <f t="shared" si="7"/>
        <v>1679690.8684090888</v>
      </c>
      <c r="J102" s="757">
        <f>+G$29*I102+H102</f>
        <v>428700.21742578724</v>
      </c>
      <c r="K102" s="776">
        <f>+K101</f>
        <v>4504941.4767613607</v>
      </c>
      <c r="L102" s="775">
        <f>+L101</f>
        <v>305419.76113636367</v>
      </c>
      <c r="M102" s="775">
        <f t="shared" si="8"/>
        <v>4199521.7156249974</v>
      </c>
      <c r="N102" s="757">
        <f>+K$29*M102+L102</f>
        <v>1087623.2927580809</v>
      </c>
      <c r="O102" s="776">
        <f>+O101</f>
        <v>2008491.356060602</v>
      </c>
      <c r="P102" s="775">
        <f>+P101</f>
        <v>119316.31818181818</v>
      </c>
      <c r="Q102" s="775">
        <f t="shared" si="11"/>
        <v>1889175.0378787839</v>
      </c>
      <c r="R102" s="757">
        <f>+O$29*Q102+P102</f>
        <v>471194.33823878871</v>
      </c>
      <c r="S102" s="661">
        <f>+S101</f>
        <v>884454.86606060283</v>
      </c>
      <c r="T102" s="630">
        <f>+T101</f>
        <v>58315.705454545445</v>
      </c>
      <c r="U102" s="630">
        <f t="shared" si="12"/>
        <v>826139.16060605738</v>
      </c>
      <c r="V102" s="662">
        <f>+S$29*U102+T102</f>
        <v>212192.50686093763</v>
      </c>
      <c r="W102" s="661">
        <f>+W101</f>
        <v>11670442.496212129</v>
      </c>
      <c r="X102" s="630">
        <f>+X101</f>
        <v>693293.61363636365</v>
      </c>
      <c r="Y102" s="630">
        <f t="shared" si="13"/>
        <v>10977148.882575765</v>
      </c>
      <c r="Z102" s="662">
        <f>+W$29*Y102+X102</f>
        <v>2737898.9769426654</v>
      </c>
      <c r="AA102" s="661">
        <f>+AA101</f>
        <v>7626596.5814393945</v>
      </c>
      <c r="AB102" s="630">
        <f>+AB101</f>
        <v>450833.29545454547</v>
      </c>
      <c r="AC102" s="630">
        <f t="shared" si="14"/>
        <v>7175763.2859848486</v>
      </c>
      <c r="AD102" s="662">
        <f>+AA$29*AC102+AB102</f>
        <v>1787392.0191527896</v>
      </c>
      <c r="AE102" s="661">
        <f>+AE101</f>
        <v>75865.125000000102</v>
      </c>
      <c r="AF102" s="630">
        <f>+AF101</f>
        <v>4597.886363636364</v>
      </c>
      <c r="AG102" s="630">
        <f t="shared" si="15"/>
        <v>71267.238636363734</v>
      </c>
      <c r="AH102" s="662">
        <f>+AE$29*AG102+AF102</f>
        <v>17872.132700518334</v>
      </c>
      <c r="AI102" s="661">
        <f>+AI101</f>
        <v>5270595.8674242459</v>
      </c>
      <c r="AJ102" s="630">
        <f>+AJ101</f>
        <v>295547.43181818182</v>
      </c>
      <c r="AK102" s="630">
        <f t="shared" si="19"/>
        <v>4975048.4356060643</v>
      </c>
      <c r="AL102" s="662">
        <f>+AI$29*AK102+AJ102</f>
        <v>1222200.684220999</v>
      </c>
      <c r="AM102" s="661">
        <f>+AM101</f>
        <v>1940171.0244318191</v>
      </c>
      <c r="AN102" s="630">
        <f>+AN101</f>
        <v>110866.91568181818</v>
      </c>
      <c r="AO102" s="630">
        <f t="shared" si="16"/>
        <v>1829304.1087500008</v>
      </c>
      <c r="AP102" s="662">
        <f>+AM$29*AO102+AN102</f>
        <v>451593.36768479715</v>
      </c>
      <c r="AQ102" s="661">
        <f>+AQ101</f>
        <v>16062547.211590903</v>
      </c>
      <c r="AR102" s="630">
        <f>+AR101</f>
        <v>904932.23727272719</v>
      </c>
      <c r="AS102" s="630">
        <f t="shared" si="17"/>
        <v>15157614.974318177</v>
      </c>
      <c r="AT102" s="662">
        <f>+AQ$29*AS102+AR102</f>
        <v>3728191.8288972876</v>
      </c>
      <c r="AU102" s="775"/>
      <c r="AV102" s="775"/>
      <c r="AW102" s="775"/>
      <c r="AX102" s="757"/>
      <c r="AY102" s="775"/>
      <c r="AZ102" s="775"/>
      <c r="BA102" s="775"/>
      <c r="BB102" s="757"/>
      <c r="BC102" s="775"/>
      <c r="BD102" s="775"/>
      <c r="BE102" s="775"/>
      <c r="BF102" s="757"/>
      <c r="BG102" s="775"/>
      <c r="BH102" s="775"/>
      <c r="BI102" s="775"/>
      <c r="BJ102" s="757"/>
      <c r="BK102" s="775"/>
      <c r="BL102" s="775"/>
      <c r="BM102" s="775"/>
      <c r="BN102" s="757"/>
      <c r="BO102" s="775"/>
      <c r="BP102" s="775"/>
      <c r="BQ102" s="775"/>
      <c r="BR102" s="757"/>
      <c r="BS102" s="661">
        <f>+BS101</f>
        <v>149595.95454545482</v>
      </c>
      <c r="BT102" s="630">
        <f>+BT101</f>
        <v>8310.886363636364</v>
      </c>
      <c r="BU102" s="630">
        <f t="shared" si="18"/>
        <v>141285.06818181847</v>
      </c>
      <c r="BV102" s="662">
        <f>+BS$29*BU102+BT102</f>
        <v>34626.663916601399</v>
      </c>
      <c r="BW102" s="661">
        <f>+BW101</f>
        <v>10527352.397727288</v>
      </c>
      <c r="BX102" s="630">
        <f>+BX101</f>
        <v>576841.22727272729</v>
      </c>
      <c r="BY102" s="630">
        <f t="shared" si="20"/>
        <v>9950511.1704545617</v>
      </c>
      <c r="BZ102" s="662">
        <f>+BW$29*BY102+BX102</f>
        <v>2351082.3738662913</v>
      </c>
      <c r="CA102" s="661">
        <f>+CA101</f>
        <v>993419.04000000167</v>
      </c>
      <c r="CB102" s="630">
        <f>+CB101</f>
        <v>54433.919999999998</v>
      </c>
      <c r="CC102" s="630">
        <f t="shared" si="21"/>
        <v>938985.12000000163</v>
      </c>
      <c r="CD102" s="662">
        <f>+CA$29*CC102+CB102</f>
        <v>229329.42637909582</v>
      </c>
      <c r="CE102" s="661">
        <f>+CE101</f>
        <v>86231.780909091089</v>
      </c>
      <c r="CF102" s="630">
        <f>+CF101</f>
        <v>4725.0290909090909</v>
      </c>
      <c r="CG102" s="630">
        <f t="shared" si="22"/>
        <v>81506.751818182005</v>
      </c>
      <c r="CH102" s="662">
        <f>+CE$29*CG102+CF102</f>
        <v>19906.488657122674</v>
      </c>
      <c r="CI102" s="661">
        <f>+CI101</f>
        <v>237982.49999999959</v>
      </c>
      <c r="CJ102" s="630">
        <f>+CJ101</f>
        <v>12362.727272727272</v>
      </c>
      <c r="CK102" s="630">
        <f t="shared" si="24"/>
        <v>225619.77272727233</v>
      </c>
      <c r="CL102" s="662">
        <f>+CI$29*CK102+CJ102</f>
        <v>52592.20668343459</v>
      </c>
      <c r="CM102" s="661">
        <f>+CM101</f>
        <v>11245830.836079553</v>
      </c>
      <c r="CN102" s="630">
        <f>+CN101</f>
        <v>483691.64886363636</v>
      </c>
      <c r="CO102" s="630">
        <f t="shared" si="35"/>
        <v>10762139.187215917</v>
      </c>
      <c r="CP102" s="662">
        <f>+CM$29*CO102+CN102</f>
        <v>2402651.3730657459</v>
      </c>
      <c r="CQ102" s="661">
        <f>+CQ101</f>
        <v>47921229.152556807</v>
      </c>
      <c r="CR102" s="630">
        <f>+CR101</f>
        <v>2017735.9643181816</v>
      </c>
      <c r="CS102" s="630">
        <f t="shared" si="40"/>
        <v>45903493.188238628</v>
      </c>
      <c r="CT102" s="662">
        <f>+CQ$29*CS102+CR102</f>
        <v>10202628.679053944</v>
      </c>
      <c r="CU102" s="661">
        <f>+CU101</f>
        <v>16228688.940000026</v>
      </c>
      <c r="CV102" s="630">
        <f>+CV101</f>
        <v>676195.37250000006</v>
      </c>
      <c r="CW102" s="630">
        <f t="shared" si="41"/>
        <v>15552493.567500025</v>
      </c>
      <c r="CX102" s="662">
        <f>+CU$29*CW102+CV102</f>
        <v>3449306.5772311762</v>
      </c>
      <c r="CY102" s="782">
        <f t="shared" si="25"/>
        <v>16502929.394956274</v>
      </c>
      <c r="CZ102" s="779">
        <f>+CY102</f>
        <v>16502929.394956274</v>
      </c>
      <c r="DA102" s="752"/>
      <c r="DD102" s="661"/>
      <c r="DE102" s="630"/>
      <c r="DF102" s="630"/>
      <c r="DG102" s="662"/>
      <c r="DH102" s="661"/>
      <c r="DI102" s="630"/>
      <c r="DJ102" s="630"/>
      <c r="DK102" s="662"/>
      <c r="DL102" s="661"/>
      <c r="DM102" s="630"/>
      <c r="DN102" s="630"/>
      <c r="DO102" s="662"/>
      <c r="DP102" s="661"/>
      <c r="DQ102" s="630"/>
      <c r="DR102" s="630"/>
      <c r="DS102" s="662"/>
      <c r="DT102" s="661"/>
      <c r="DU102" s="630"/>
      <c r="DV102" s="630"/>
      <c r="DW102" s="662"/>
      <c r="DX102" s="661"/>
      <c r="DY102" s="630"/>
      <c r="DZ102" s="630"/>
      <c r="EA102" s="662"/>
      <c r="EB102" s="661"/>
      <c r="EC102" s="630"/>
      <c r="ED102" s="630"/>
      <c r="EE102" s="662"/>
      <c r="EF102" s="661"/>
      <c r="EG102" s="630"/>
      <c r="EH102" s="630"/>
      <c r="EI102" s="662"/>
      <c r="EJ102" s="661"/>
      <c r="EK102" s="630"/>
      <c r="EL102" s="630"/>
      <c r="EM102" s="662"/>
      <c r="EN102" s="661"/>
      <c r="EO102" s="630"/>
      <c r="EP102" s="630"/>
      <c r="EQ102" s="662"/>
      <c r="ER102" s="661"/>
      <c r="ES102" s="630"/>
      <c r="ET102" s="630"/>
      <c r="EU102" s="662"/>
      <c r="EW102" s="661"/>
      <c r="EX102" s="630"/>
      <c r="EY102" s="630"/>
      <c r="EZ102" s="662"/>
      <c r="FA102" s="661"/>
      <c r="FB102" s="630"/>
      <c r="FC102" s="630"/>
      <c r="FD102" s="662"/>
    </row>
    <row r="103" spans="1:160">
      <c r="A103" s="753" t="s">
        <v>24</v>
      </c>
      <c r="B103" s="774">
        <v>2038</v>
      </c>
      <c r="C103" s="775">
        <f>+E102</f>
        <v>6575431.7653409019</v>
      </c>
      <c r="D103" s="775">
        <f>+C$31</f>
        <v>445791.98409090913</v>
      </c>
      <c r="E103" s="775">
        <f t="shared" si="6"/>
        <v>6129639.7812499925</v>
      </c>
      <c r="F103" s="757">
        <f>+C$28*E103+D103</f>
        <v>1538746.8009230674</v>
      </c>
      <c r="G103" s="775">
        <f>+I102</f>
        <v>1679690.8684090888</v>
      </c>
      <c r="H103" s="775">
        <f>+G$31</f>
        <v>115840.74954545456</v>
      </c>
      <c r="I103" s="775">
        <f t="shared" si="7"/>
        <v>1563850.1188636343</v>
      </c>
      <c r="J103" s="757">
        <f>+G$28*I103+H103</f>
        <v>394685.44209066615</v>
      </c>
      <c r="K103" s="776">
        <f>+M102</f>
        <v>4199521.7156249974</v>
      </c>
      <c r="L103" s="775">
        <f>+K$31</f>
        <v>305419.76113636367</v>
      </c>
      <c r="M103" s="775">
        <f t="shared" si="8"/>
        <v>3894101.9544886337</v>
      </c>
      <c r="N103" s="757">
        <f>+K$28*M103+L103</f>
        <v>999763.57909004274</v>
      </c>
      <c r="O103" s="776">
        <f>+Q102</f>
        <v>1889175.0378787839</v>
      </c>
      <c r="P103" s="775">
        <f>+O$31</f>
        <v>119316.31818181818</v>
      </c>
      <c r="Q103" s="775">
        <f t="shared" si="11"/>
        <v>1769858.7196969658</v>
      </c>
      <c r="R103" s="757">
        <f>+O$28*Q103+P103</f>
        <v>434893.69007278531</v>
      </c>
      <c r="S103" s="661">
        <f>+U102</f>
        <v>826139.16060605738</v>
      </c>
      <c r="T103" s="630">
        <f>+S$31</f>
        <v>58315.705454545445</v>
      </c>
      <c r="U103" s="630">
        <f t="shared" si="12"/>
        <v>767823.45515151194</v>
      </c>
      <c r="V103" s="662">
        <f>+S$28*U103+T103</f>
        <v>195223.6435607259</v>
      </c>
      <c r="W103" s="661">
        <f>+Y102</f>
        <v>10977148.882575765</v>
      </c>
      <c r="X103" s="630">
        <f>+W$31</f>
        <v>693293.61363636365</v>
      </c>
      <c r="Y103" s="630">
        <f t="shared" si="13"/>
        <v>10283855.268939402</v>
      </c>
      <c r="Z103" s="662">
        <f>+W$28*Y103+X103</f>
        <v>2526972.190666873</v>
      </c>
      <c r="AA103" s="661">
        <f>+AC102</f>
        <v>7175763.2859848486</v>
      </c>
      <c r="AB103" s="630">
        <f>+AA$31</f>
        <v>450833.29545454547</v>
      </c>
      <c r="AC103" s="630">
        <f t="shared" si="14"/>
        <v>6724929.9905303027</v>
      </c>
      <c r="AD103" s="662">
        <f>+AA$28*AC103+AB103</f>
        <v>1649932.2455253552</v>
      </c>
      <c r="AE103" s="661">
        <f>+AG102</f>
        <v>71267.238636363734</v>
      </c>
      <c r="AF103" s="630">
        <f>+AE$31</f>
        <v>4597.886363636364</v>
      </c>
      <c r="AG103" s="630">
        <f t="shared" si="15"/>
        <v>66669.352272727367</v>
      </c>
      <c r="AH103" s="662">
        <f>+AE$28*AG103+AF103</f>
        <v>16485.467412762548</v>
      </c>
      <c r="AI103" s="661">
        <f>+AK102</f>
        <v>4975048.4356060643</v>
      </c>
      <c r="AJ103" s="630">
        <f>+AI$31</f>
        <v>295547.43181818182</v>
      </c>
      <c r="AK103" s="630">
        <f t="shared" si="19"/>
        <v>4679501.0037878826</v>
      </c>
      <c r="AL103" s="662">
        <f>+AI$28*AK103+AJ103</f>
        <v>1129933.0311327814</v>
      </c>
      <c r="AM103" s="661">
        <f>+AO102</f>
        <v>1829304.1087500008</v>
      </c>
      <c r="AN103" s="630">
        <f>+AM$31</f>
        <v>110866.91568181818</v>
      </c>
      <c r="AO103" s="630">
        <f t="shared" si="16"/>
        <v>1718437.1930681826</v>
      </c>
      <c r="AP103" s="662">
        <f>+AM$28*AO103+AN103</f>
        <v>417275.49344727944</v>
      </c>
      <c r="AQ103" s="661">
        <f>+AS102</f>
        <v>15157614.974318177</v>
      </c>
      <c r="AR103" s="630">
        <f>+AQ$31</f>
        <v>904932.23727272719</v>
      </c>
      <c r="AS103" s="630">
        <f t="shared" si="17"/>
        <v>14252682.73704545</v>
      </c>
      <c r="AT103" s="662">
        <f>+AQ$28*AS103+AR103</f>
        <v>3446278.6795032541</v>
      </c>
      <c r="AU103" s="775"/>
      <c r="AV103" s="775"/>
      <c r="AW103" s="775"/>
      <c r="AX103" s="757"/>
      <c r="AY103" s="775"/>
      <c r="AZ103" s="775"/>
      <c r="BA103" s="775"/>
      <c r="BB103" s="757"/>
      <c r="BC103" s="775"/>
      <c r="BD103" s="775"/>
      <c r="BE103" s="775"/>
      <c r="BF103" s="757"/>
      <c r="BG103" s="775"/>
      <c r="BH103" s="775"/>
      <c r="BI103" s="775"/>
      <c r="BJ103" s="757"/>
      <c r="BK103" s="775"/>
      <c r="BL103" s="775"/>
      <c r="BM103" s="775"/>
      <c r="BN103" s="757"/>
      <c r="BO103" s="775"/>
      <c r="BP103" s="775"/>
      <c r="BQ103" s="775"/>
      <c r="BR103" s="757"/>
      <c r="BS103" s="661">
        <f>+BU102</f>
        <v>141285.06818181847</v>
      </c>
      <c r="BT103" s="630">
        <f>+BS$31</f>
        <v>8310.886363636364</v>
      </c>
      <c r="BU103" s="630">
        <f t="shared" si="18"/>
        <v>132974.18181818211</v>
      </c>
      <c r="BV103" s="662">
        <f>+BS$28*BU103+BT103</f>
        <v>32021.051678254542</v>
      </c>
      <c r="BW103" s="661">
        <f>+BY102</f>
        <v>9950511.1704545617</v>
      </c>
      <c r="BX103" s="630">
        <f>+BW$31</f>
        <v>576841.22727272729</v>
      </c>
      <c r="BY103" s="630">
        <f t="shared" si="20"/>
        <v>9373669.9431818351</v>
      </c>
      <c r="BZ103" s="662">
        <f>+BW$28*BY103+BX103</f>
        <v>2248227.8146434762</v>
      </c>
      <c r="CA103" s="661">
        <f>+CC102</f>
        <v>938985.12000000163</v>
      </c>
      <c r="CB103" s="630">
        <f>+CA$31</f>
        <v>54433.919999999998</v>
      </c>
      <c r="CC103" s="630">
        <f t="shared" si="21"/>
        <v>884551.20000000158</v>
      </c>
      <c r="CD103" s="662">
        <f>+CA$28*CC103+CB103</f>
        <v>212155.17757404898</v>
      </c>
      <c r="CE103" s="661">
        <f>+CG102</f>
        <v>81506.751818182005</v>
      </c>
      <c r="CF103" s="630">
        <f>+CE$31</f>
        <v>4725.0290909090909</v>
      </c>
      <c r="CG103" s="630">
        <f t="shared" si="22"/>
        <v>76781.722727272921</v>
      </c>
      <c r="CH103" s="662">
        <f>+CE$28*CG103+CF103</f>
        <v>18415.711854379879</v>
      </c>
      <c r="CI103" s="661">
        <f>+CK102</f>
        <v>225619.77272727233</v>
      </c>
      <c r="CJ103" s="630">
        <f>+CI$31</f>
        <v>12362.727272727272</v>
      </c>
      <c r="CK103" s="630">
        <f t="shared" si="24"/>
        <v>213257.04545454506</v>
      </c>
      <c r="CL103" s="662">
        <f>+CI$28*CK103+CJ103</f>
        <v>50387.851647231451</v>
      </c>
      <c r="CM103" s="661">
        <f>+CO102</f>
        <v>10762139.187215917</v>
      </c>
      <c r="CN103" s="630">
        <f>+CM$31</f>
        <v>483691.64886363636</v>
      </c>
      <c r="CO103" s="630">
        <f t="shared" si="35"/>
        <v>10278447.538352281</v>
      </c>
      <c r="CP103" s="662">
        <f>+CM$28*CO103+CN103</f>
        <v>2316405.9922027299</v>
      </c>
      <c r="CQ103" s="661">
        <f>+CS102</f>
        <v>45903493.188238628</v>
      </c>
      <c r="CR103" s="630">
        <f>+CQ$31</f>
        <v>2017735.9643181816</v>
      </c>
      <c r="CS103" s="630">
        <f t="shared" si="40"/>
        <v>43885757.22392045</v>
      </c>
      <c r="CT103" s="662">
        <f>+CQ$28*CS103+CR103</f>
        <v>9842853.175109515</v>
      </c>
      <c r="CU103" s="661">
        <f>+CW102</f>
        <v>15552493.567500025</v>
      </c>
      <c r="CV103" s="630">
        <f>+CU$31</f>
        <v>676195.37250000006</v>
      </c>
      <c r="CW103" s="630">
        <f t="shared" si="41"/>
        <v>14876298.195000025</v>
      </c>
      <c r="CX103" s="662">
        <f>+CU$28*CW103+CV103</f>
        <v>3328736.5248515597</v>
      </c>
      <c r="CY103" s="782">
        <f t="shared" si="25"/>
        <v>15311397.870822987</v>
      </c>
      <c r="CZ103" s="756"/>
      <c r="DA103" s="778">
        <f>+CY103</f>
        <v>15311397.870822987</v>
      </c>
      <c r="DD103" s="661"/>
      <c r="DE103" s="630"/>
      <c r="DF103" s="630"/>
      <c r="DG103" s="662"/>
      <c r="DH103" s="661"/>
      <c r="DI103" s="630"/>
      <c r="DJ103" s="630"/>
      <c r="DK103" s="662"/>
      <c r="DL103" s="661"/>
      <c r="DM103" s="630"/>
      <c r="DN103" s="630"/>
      <c r="DO103" s="662"/>
      <c r="DP103" s="661"/>
      <c r="DQ103" s="630"/>
      <c r="DR103" s="630"/>
      <c r="DS103" s="662"/>
      <c r="DT103" s="661"/>
      <c r="DU103" s="630"/>
      <c r="DV103" s="630"/>
      <c r="DW103" s="662"/>
      <c r="DX103" s="661"/>
      <c r="DY103" s="630"/>
      <c r="DZ103" s="630"/>
      <c r="EA103" s="662"/>
      <c r="EB103" s="661"/>
      <c r="EC103" s="630"/>
      <c r="ED103" s="630"/>
      <c r="EE103" s="662"/>
      <c r="EF103" s="661"/>
      <c r="EG103" s="630"/>
      <c r="EH103" s="630"/>
      <c r="EI103" s="662"/>
      <c r="EJ103" s="661"/>
      <c r="EK103" s="630"/>
      <c r="EL103" s="630"/>
      <c r="EM103" s="662"/>
      <c r="EN103" s="661"/>
      <c r="EO103" s="630"/>
      <c r="EP103" s="630"/>
      <c r="EQ103" s="662"/>
      <c r="ER103" s="661"/>
      <c r="ES103" s="630"/>
      <c r="ET103" s="630"/>
      <c r="EU103" s="662"/>
      <c r="EW103" s="661"/>
      <c r="EX103" s="630"/>
      <c r="EY103" s="630"/>
      <c r="EZ103" s="662"/>
      <c r="FA103" s="661"/>
      <c r="FB103" s="630"/>
      <c r="FC103" s="630"/>
      <c r="FD103" s="662"/>
    </row>
    <row r="104" spans="1:160">
      <c r="A104" s="753" t="s">
        <v>23</v>
      </c>
      <c r="B104" s="774">
        <v>2038</v>
      </c>
      <c r="C104" s="775">
        <f>+C103</f>
        <v>6575431.7653409019</v>
      </c>
      <c r="D104" s="775">
        <f>+D103</f>
        <v>445791.98409090913</v>
      </c>
      <c r="E104" s="775">
        <f t="shared" si="6"/>
        <v>6129639.7812499925</v>
      </c>
      <c r="F104" s="757">
        <f>+C$29*E104+D104</f>
        <v>1587499.5901317438</v>
      </c>
      <c r="G104" s="775">
        <f>+G103</f>
        <v>1679690.8684090888</v>
      </c>
      <c r="H104" s="775">
        <f>+H103</f>
        <v>115840.74954545456</v>
      </c>
      <c r="I104" s="775">
        <f t="shared" si="7"/>
        <v>1563850.1188636343</v>
      </c>
      <c r="J104" s="757">
        <f>+G$29*I104+H104</f>
        <v>407123.7023995574</v>
      </c>
      <c r="K104" s="776">
        <f>+K103</f>
        <v>4199521.7156249974</v>
      </c>
      <c r="L104" s="775">
        <f>+L103</f>
        <v>305419.76113636367</v>
      </c>
      <c r="M104" s="775">
        <f t="shared" si="8"/>
        <v>3894101.9544886337</v>
      </c>
      <c r="N104" s="757">
        <f>+K$29*M104+L104</f>
        <v>1030735.7631855924</v>
      </c>
      <c r="O104" s="776">
        <f>+O103</f>
        <v>1889175.0378787839</v>
      </c>
      <c r="P104" s="775">
        <f>+P103</f>
        <v>119316.31818181818</v>
      </c>
      <c r="Q104" s="775">
        <f t="shared" si="11"/>
        <v>1769858.7196969658</v>
      </c>
      <c r="R104" s="757">
        <f>+O$29*Q104+P104</f>
        <v>448970.46328782215</v>
      </c>
      <c r="S104" s="661">
        <f>+S103</f>
        <v>826139.16060605738</v>
      </c>
      <c r="T104" s="630">
        <f>+T103</f>
        <v>58315.705454545445</v>
      </c>
      <c r="U104" s="630">
        <f t="shared" si="12"/>
        <v>767823.45515151194</v>
      </c>
      <c r="V104" s="662">
        <f>+S$29*U104+T104</f>
        <v>201330.61499695698</v>
      </c>
      <c r="W104" s="661">
        <f>+W103</f>
        <v>10977148.882575765</v>
      </c>
      <c r="X104" s="630">
        <f>+X103</f>
        <v>693293.61363636365</v>
      </c>
      <c r="Y104" s="630">
        <f t="shared" si="13"/>
        <v>10283855.268939402</v>
      </c>
      <c r="Z104" s="662">
        <f>+W$29*Y104+X104</f>
        <v>2608766.0066285832</v>
      </c>
      <c r="AA104" s="661">
        <f>+AA103</f>
        <v>7175763.2859848486</v>
      </c>
      <c r="AB104" s="630">
        <f>+AB103</f>
        <v>450833.29545454547</v>
      </c>
      <c r="AC104" s="630">
        <f t="shared" si="14"/>
        <v>6724929.9905303027</v>
      </c>
      <c r="AD104" s="662">
        <f>+AA$29*AC104+AB104</f>
        <v>1703419.7433183449</v>
      </c>
      <c r="AE104" s="661">
        <f>+AE103</f>
        <v>71267.238636363734</v>
      </c>
      <c r="AF104" s="630">
        <f>+AF103</f>
        <v>4597.886363636364</v>
      </c>
      <c r="AG104" s="630">
        <f t="shared" si="15"/>
        <v>66669.352272727367</v>
      </c>
      <c r="AH104" s="662">
        <f>+AE$29*AG104+AF104</f>
        <v>17015.729711042077</v>
      </c>
      <c r="AI104" s="661">
        <f>+AI103</f>
        <v>4975048.4356060643</v>
      </c>
      <c r="AJ104" s="630">
        <f>+AJ103</f>
        <v>295547.43181818182</v>
      </c>
      <c r="AK104" s="630">
        <f t="shared" si="19"/>
        <v>4679501.0037878826</v>
      </c>
      <c r="AL104" s="662">
        <f>+AI$29*AK104+AJ104</f>
        <v>1167151.9761574655</v>
      </c>
      <c r="AM104" s="661">
        <f>+AM103</f>
        <v>1829304.1087500008</v>
      </c>
      <c r="AN104" s="630">
        <f>+AN103</f>
        <v>110866.91568181818</v>
      </c>
      <c r="AO104" s="630">
        <f t="shared" si="16"/>
        <v>1718437.1930681826</v>
      </c>
      <c r="AP104" s="662">
        <f>+AM$29*AO104+AN104</f>
        <v>430943.2796846166</v>
      </c>
      <c r="AQ104" s="661">
        <f>+AQ103</f>
        <v>15157614.974318177</v>
      </c>
      <c r="AR104" s="630">
        <f>+AR103</f>
        <v>904932.23727272719</v>
      </c>
      <c r="AS104" s="630">
        <f t="shared" si="17"/>
        <v>14252682.73704545</v>
      </c>
      <c r="AT104" s="662">
        <f>+AQ$29*AS104+AR104</f>
        <v>3559639.0174570153</v>
      </c>
      <c r="AU104" s="775"/>
      <c r="AV104" s="775"/>
      <c r="AW104" s="775"/>
      <c r="AX104" s="757"/>
      <c r="AY104" s="775"/>
      <c r="AZ104" s="775"/>
      <c r="BA104" s="775"/>
      <c r="BB104" s="757"/>
      <c r="BC104" s="775"/>
      <c r="BD104" s="775"/>
      <c r="BE104" s="775"/>
      <c r="BF104" s="757"/>
      <c r="BG104" s="775"/>
      <c r="BH104" s="775"/>
      <c r="BI104" s="775"/>
      <c r="BJ104" s="757"/>
      <c r="BK104" s="775"/>
      <c r="BL104" s="775"/>
      <c r="BM104" s="775"/>
      <c r="BN104" s="757"/>
      <c r="BO104" s="775"/>
      <c r="BP104" s="775"/>
      <c r="BQ104" s="775"/>
      <c r="BR104" s="757"/>
      <c r="BS104" s="661">
        <f>+BS103</f>
        <v>141285.06818181847</v>
      </c>
      <c r="BT104" s="630">
        <f>+BT103</f>
        <v>8310.886363636364</v>
      </c>
      <c r="BU104" s="630">
        <f t="shared" si="18"/>
        <v>132974.18181818211</v>
      </c>
      <c r="BV104" s="662">
        <f>+BS$29*BU104+BT104</f>
        <v>33078.677001721109</v>
      </c>
      <c r="BW104" s="661">
        <f>+BW103</f>
        <v>9950511.1704545617</v>
      </c>
      <c r="BX104" s="630">
        <f>+BX103</f>
        <v>576841.22727272729</v>
      </c>
      <c r="BY104" s="630">
        <f t="shared" si="20"/>
        <v>9373669.9431818351</v>
      </c>
      <c r="BZ104" s="662">
        <f>+BW$29*BY104+BX104</f>
        <v>2248227.8146434762</v>
      </c>
      <c r="CA104" s="661">
        <f>+CA103</f>
        <v>938985.12000000163</v>
      </c>
      <c r="CB104" s="630">
        <f>+CB103</f>
        <v>54433.919999999998</v>
      </c>
      <c r="CC104" s="630">
        <f t="shared" si="21"/>
        <v>884551.20000000158</v>
      </c>
      <c r="CD104" s="662">
        <f>+CA$29*CC104+CB104</f>
        <v>219190.55644407577</v>
      </c>
      <c r="CE104" s="661">
        <f>+CE103</f>
        <v>81506.751818182005</v>
      </c>
      <c r="CF104" s="630">
        <f>+CF103</f>
        <v>4725.0290909090909</v>
      </c>
      <c r="CG104" s="630">
        <f t="shared" si="22"/>
        <v>76781.722727272921</v>
      </c>
      <c r="CH104" s="662">
        <f>+CE$29*CG104+CF104</f>
        <v>19026.404044588555</v>
      </c>
      <c r="CI104" s="661">
        <f>+CI103</f>
        <v>225619.77272727233</v>
      </c>
      <c r="CJ104" s="630">
        <f>+CJ103</f>
        <v>12362.727272727272</v>
      </c>
      <c r="CK104" s="630">
        <f t="shared" si="24"/>
        <v>213257.04545454506</v>
      </c>
      <c r="CL104" s="662">
        <f>+CI$29*CK104+CJ104</f>
        <v>50387.851647231451</v>
      </c>
      <c r="CM104" s="661">
        <f>+CM103</f>
        <v>10762139.187215917</v>
      </c>
      <c r="CN104" s="630">
        <f>+CN103</f>
        <v>483691.64886363636</v>
      </c>
      <c r="CO104" s="630">
        <f t="shared" si="35"/>
        <v>10278447.538352281</v>
      </c>
      <c r="CP104" s="662">
        <f>+CM$29*CO104+CN104</f>
        <v>2316405.9922027299</v>
      </c>
      <c r="CQ104" s="661">
        <f>+CQ103</f>
        <v>45903493.188238628</v>
      </c>
      <c r="CR104" s="630">
        <f>+CR103</f>
        <v>2017735.9643181816</v>
      </c>
      <c r="CS104" s="630">
        <f t="shared" si="40"/>
        <v>43885757.22392045</v>
      </c>
      <c r="CT104" s="662">
        <f>+CQ$29*CS104+CR104</f>
        <v>9842853.175109515</v>
      </c>
      <c r="CU104" s="661">
        <f>+CU103</f>
        <v>15552493.567500025</v>
      </c>
      <c r="CV104" s="630">
        <f>+CV103</f>
        <v>676195.37250000006</v>
      </c>
      <c r="CW104" s="630">
        <f t="shared" si="41"/>
        <v>14876298.195000025</v>
      </c>
      <c r="CX104" s="662">
        <f>+CU$29*CW104+CV104</f>
        <v>3328736.5248515597</v>
      </c>
      <c r="CY104" s="782">
        <f t="shared" si="25"/>
        <v>15732507.190739833</v>
      </c>
      <c r="CZ104" s="779">
        <f>+CY104</f>
        <v>15732507.190739833</v>
      </c>
      <c r="DA104" s="752"/>
      <c r="DD104" s="661"/>
      <c r="DE104" s="630"/>
      <c r="DF104" s="630"/>
      <c r="DG104" s="662"/>
      <c r="DH104" s="661"/>
      <c r="DI104" s="630"/>
      <c r="DJ104" s="630"/>
      <c r="DK104" s="662"/>
      <c r="DL104" s="661"/>
      <c r="DM104" s="630"/>
      <c r="DN104" s="630"/>
      <c r="DO104" s="662"/>
      <c r="DP104" s="661"/>
      <c r="DQ104" s="630"/>
      <c r="DR104" s="630"/>
      <c r="DS104" s="662"/>
      <c r="DT104" s="661"/>
      <c r="DU104" s="630"/>
      <c r="DV104" s="630"/>
      <c r="DW104" s="662"/>
      <c r="DX104" s="661"/>
      <c r="DY104" s="630"/>
      <c r="DZ104" s="630"/>
      <c r="EA104" s="662"/>
      <c r="EB104" s="661"/>
      <c r="EC104" s="630"/>
      <c r="ED104" s="630"/>
      <c r="EE104" s="662"/>
      <c r="EF104" s="661"/>
      <c r="EG104" s="630"/>
      <c r="EH104" s="630"/>
      <c r="EI104" s="662"/>
      <c r="EJ104" s="661"/>
      <c r="EK104" s="630"/>
      <c r="EL104" s="630"/>
      <c r="EM104" s="662"/>
      <c r="EN104" s="661"/>
      <c r="EO104" s="630"/>
      <c r="EP104" s="630"/>
      <c r="EQ104" s="662"/>
      <c r="ER104" s="661"/>
      <c r="ES104" s="630"/>
      <c r="ET104" s="630"/>
      <c r="EU104" s="662"/>
      <c r="EW104" s="661"/>
      <c r="EX104" s="630"/>
      <c r="EY104" s="630"/>
      <c r="EZ104" s="662"/>
      <c r="FA104" s="661"/>
      <c r="FB104" s="630"/>
      <c r="FC104" s="630"/>
      <c r="FD104" s="662"/>
    </row>
    <row r="105" spans="1:160">
      <c r="A105" s="753" t="s">
        <v>24</v>
      </c>
      <c r="B105" s="774">
        <v>2039</v>
      </c>
      <c r="C105" s="775">
        <f>+E104</f>
        <v>6129639.7812499925</v>
      </c>
      <c r="D105" s="775">
        <f>+C$31</f>
        <v>445791.98409090913</v>
      </c>
      <c r="E105" s="775">
        <f t="shared" si="6"/>
        <v>5683847.7971590832</v>
      </c>
      <c r="F105" s="757">
        <f>+C$28*E105+D105</f>
        <v>1459259.1778807284</v>
      </c>
      <c r="G105" s="775">
        <f>+I104</f>
        <v>1563850.1188636343</v>
      </c>
      <c r="H105" s="775">
        <f>+G$31</f>
        <v>115840.74954545456</v>
      </c>
      <c r="I105" s="775">
        <f t="shared" si="7"/>
        <v>1448009.3693181798</v>
      </c>
      <c r="J105" s="757">
        <f>+G$28*I105+H105</f>
        <v>374030.2796799097</v>
      </c>
      <c r="K105" s="776">
        <f>+M104</f>
        <v>3894101.9544886337</v>
      </c>
      <c r="L105" s="775">
        <f>+K$31</f>
        <v>305419.76113636367</v>
      </c>
      <c r="M105" s="775">
        <f t="shared" si="8"/>
        <v>3588682.1933522699</v>
      </c>
      <c r="N105" s="757">
        <f>+K$28*M105+L105</f>
        <v>945305.24042700906</v>
      </c>
      <c r="O105" s="776">
        <f>+Q104</f>
        <v>1769858.7196969658</v>
      </c>
      <c r="P105" s="775">
        <f>+O$31</f>
        <v>119316.31818181818</v>
      </c>
      <c r="Q105" s="775">
        <f t="shared" si="11"/>
        <v>1650542.4015151476</v>
      </c>
      <c r="R105" s="757">
        <f>+O$28*Q105+P105</f>
        <v>413618.81106889981</v>
      </c>
      <c r="S105" s="661">
        <f>+U104</f>
        <v>767823.45515151194</v>
      </c>
      <c r="T105" s="630">
        <f>+S$31</f>
        <v>58315.705454545445</v>
      </c>
      <c r="U105" s="630">
        <f t="shared" si="12"/>
        <v>709507.74969696649</v>
      </c>
      <c r="V105" s="662">
        <f>+S$28*U105+T105</f>
        <v>184825.57231215521</v>
      </c>
      <c r="W105" s="661">
        <f>+Y104</f>
        <v>10283855.268939402</v>
      </c>
      <c r="X105" s="630">
        <f>+W$31</f>
        <v>693293.61363636365</v>
      </c>
      <c r="Y105" s="630">
        <f t="shared" si="13"/>
        <v>9590561.6553030387</v>
      </c>
      <c r="Z105" s="662">
        <f>+W$28*Y105+X105</f>
        <v>2403353.4101929064</v>
      </c>
      <c r="AA105" s="661">
        <f>+AC104</f>
        <v>6724929.9905303027</v>
      </c>
      <c r="AB105" s="630">
        <f>+AA$31</f>
        <v>450833.29545454547</v>
      </c>
      <c r="AC105" s="630">
        <f t="shared" si="14"/>
        <v>6274096.6950757569</v>
      </c>
      <c r="AD105" s="662">
        <f>+AA$28*AC105+AB105</f>
        <v>1569545.7237328987</v>
      </c>
      <c r="AE105" s="661">
        <f>+AG104</f>
        <v>66669.352272727367</v>
      </c>
      <c r="AF105" s="630">
        <f>+AE$31</f>
        <v>4597.886363636364</v>
      </c>
      <c r="AG105" s="630">
        <f t="shared" si="15"/>
        <v>62071.465909090999</v>
      </c>
      <c r="AH105" s="662">
        <f>+AE$28*AG105+AF105</f>
        <v>15665.634236960741</v>
      </c>
      <c r="AI105" s="661">
        <f>+AK104</f>
        <v>4679501.0037878826</v>
      </c>
      <c r="AJ105" s="630">
        <f>+AI$31</f>
        <v>295547.43181818182</v>
      </c>
      <c r="AK105" s="630">
        <f t="shared" si="19"/>
        <v>4383953.571969701</v>
      </c>
      <c r="AL105" s="662">
        <f>+AI$28*AK105+AJ105</f>
        <v>1077234.993281333</v>
      </c>
      <c r="AM105" s="661">
        <f>+AO104</f>
        <v>1718437.1930681826</v>
      </c>
      <c r="AN105" s="630">
        <f>+AM$31</f>
        <v>110866.91568181818</v>
      </c>
      <c r="AO105" s="630">
        <f t="shared" si="16"/>
        <v>1607570.2773863643</v>
      </c>
      <c r="AP105" s="662">
        <f>+AM$28*AO105+AN105</f>
        <v>397507.19810757227</v>
      </c>
      <c r="AQ105" s="661">
        <f>+AS104</f>
        <v>14252682.73704545</v>
      </c>
      <c r="AR105" s="630">
        <f>+AQ$31</f>
        <v>904932.23727272719</v>
      </c>
      <c r="AS105" s="630">
        <f t="shared" si="17"/>
        <v>13347750.499772724</v>
      </c>
      <c r="AT105" s="662">
        <f>+AQ$28*AS105+AR105</f>
        <v>3284923.3498378238</v>
      </c>
      <c r="AU105" s="775"/>
      <c r="AV105" s="775"/>
      <c r="AW105" s="775"/>
      <c r="AX105" s="757"/>
      <c r="AY105" s="775"/>
      <c r="AZ105" s="775"/>
      <c r="BA105" s="775"/>
      <c r="BB105" s="757"/>
      <c r="BC105" s="775"/>
      <c r="BD105" s="775"/>
      <c r="BE105" s="775"/>
      <c r="BF105" s="757"/>
      <c r="BG105" s="775"/>
      <c r="BH105" s="775"/>
      <c r="BI105" s="775"/>
      <c r="BJ105" s="757"/>
      <c r="BK105" s="775"/>
      <c r="BL105" s="775"/>
      <c r="BM105" s="775"/>
      <c r="BN105" s="757"/>
      <c r="BO105" s="775"/>
      <c r="BP105" s="775"/>
      <c r="BQ105" s="775"/>
      <c r="BR105" s="757"/>
      <c r="BS105" s="661">
        <f>+BU104</f>
        <v>132974.18181818211</v>
      </c>
      <c r="BT105" s="630">
        <f>+BS$31</f>
        <v>8310.886363636364</v>
      </c>
      <c r="BU105" s="630">
        <f t="shared" si="18"/>
        <v>124663.29545454575</v>
      </c>
      <c r="BV105" s="662">
        <f>+BS$28*BU105+BT105</f>
        <v>30539.166346090911</v>
      </c>
      <c r="BW105" s="661">
        <f>+BY104</f>
        <v>9373669.9431818351</v>
      </c>
      <c r="BX105" s="630">
        <f>+BW$31</f>
        <v>576841.22727272729</v>
      </c>
      <c r="BY105" s="630">
        <f t="shared" si="20"/>
        <v>8796828.7159091085</v>
      </c>
      <c r="BZ105" s="662">
        <f>+BW$28*BY105+BX105</f>
        <v>2145373.2554206615</v>
      </c>
      <c r="CA105" s="661">
        <f>+CC104</f>
        <v>884551.20000000158</v>
      </c>
      <c r="CB105" s="630">
        <f>+CA$31</f>
        <v>54433.919999999998</v>
      </c>
      <c r="CC105" s="630">
        <f t="shared" si="21"/>
        <v>830117.28000000154</v>
      </c>
      <c r="CD105" s="662">
        <f>+CA$28*CC105+CB105</f>
        <v>202449.25403103064</v>
      </c>
      <c r="CE105" s="661">
        <f>+CG104</f>
        <v>76781.722727272921</v>
      </c>
      <c r="CF105" s="630">
        <f>+CE$31</f>
        <v>4725.0290909090909</v>
      </c>
      <c r="CG105" s="630">
        <f t="shared" si="22"/>
        <v>72056.693636363838</v>
      </c>
      <c r="CH105" s="662">
        <f>+CE$28*CG105+CF105</f>
        <v>17573.208299704758</v>
      </c>
      <c r="CI105" s="661">
        <f>+CK104</f>
        <v>213257.04545454506</v>
      </c>
      <c r="CJ105" s="630">
        <f>+CI$31</f>
        <v>12362.727272727272</v>
      </c>
      <c r="CK105" s="630">
        <f t="shared" si="24"/>
        <v>200894.3181818178</v>
      </c>
      <c r="CL105" s="662">
        <f>+CI$28*CK105+CJ105</f>
        <v>48183.496611028306</v>
      </c>
      <c r="CM105" s="661">
        <f>+CO104</f>
        <v>10278447.538352281</v>
      </c>
      <c r="CN105" s="630">
        <f>+CM$31</f>
        <v>483691.64886363636</v>
      </c>
      <c r="CO105" s="630">
        <f t="shared" si="35"/>
        <v>9794755.8894886449</v>
      </c>
      <c r="CP105" s="662">
        <f>+CM$28*CO105+CN105</f>
        <v>2230160.6113397139</v>
      </c>
      <c r="CQ105" s="661">
        <f>+CS104</f>
        <v>43885757.22392045</v>
      </c>
      <c r="CR105" s="630">
        <f>+CQ$31</f>
        <v>2017735.9643181816</v>
      </c>
      <c r="CS105" s="630">
        <f t="shared" si="40"/>
        <v>41868021.259602271</v>
      </c>
      <c r="CT105" s="662">
        <f>+CQ$28*CS105+CR105</f>
        <v>9483077.6711650863</v>
      </c>
      <c r="CU105" s="661">
        <f>+CW104</f>
        <v>14876298.195000025</v>
      </c>
      <c r="CV105" s="630">
        <f>+CU$31</f>
        <v>676195.37250000006</v>
      </c>
      <c r="CW105" s="630">
        <f t="shared" si="41"/>
        <v>14200102.822500024</v>
      </c>
      <c r="CX105" s="662">
        <f>+CU$28*CW105+CV105</f>
        <v>3208166.4724719436</v>
      </c>
      <c r="CY105" s="782">
        <f t="shared" si="25"/>
        <v>14569387.771466715</v>
      </c>
      <c r="CZ105" s="756"/>
      <c r="DA105" s="778">
        <f>+CY105</f>
        <v>14569387.771466715</v>
      </c>
      <c r="DD105" s="661"/>
      <c r="DE105" s="630"/>
      <c r="DF105" s="630"/>
      <c r="DG105" s="662"/>
      <c r="DH105" s="661"/>
      <c r="DI105" s="630"/>
      <c r="DJ105" s="630"/>
      <c r="DK105" s="662"/>
      <c r="DL105" s="661"/>
      <c r="DM105" s="630"/>
      <c r="DN105" s="630"/>
      <c r="DO105" s="662"/>
      <c r="DP105" s="661"/>
      <c r="DQ105" s="630"/>
      <c r="DR105" s="630"/>
      <c r="DS105" s="662"/>
      <c r="DT105" s="661"/>
      <c r="DU105" s="630"/>
      <c r="DV105" s="630"/>
      <c r="DW105" s="662"/>
      <c r="DX105" s="661"/>
      <c r="DY105" s="630"/>
      <c r="DZ105" s="630"/>
      <c r="EA105" s="662"/>
      <c r="EB105" s="661"/>
      <c r="EC105" s="630"/>
      <c r="ED105" s="630"/>
      <c r="EE105" s="662"/>
      <c r="EF105" s="661"/>
      <c r="EG105" s="630"/>
      <c r="EH105" s="630"/>
      <c r="EI105" s="662"/>
      <c r="EJ105" s="661"/>
      <c r="EK105" s="630"/>
      <c r="EL105" s="630"/>
      <c r="EM105" s="662"/>
      <c r="EN105" s="661"/>
      <c r="EO105" s="630"/>
      <c r="EP105" s="630"/>
      <c r="EQ105" s="662"/>
      <c r="ER105" s="661"/>
      <c r="ES105" s="630"/>
      <c r="ET105" s="630"/>
      <c r="EU105" s="662"/>
      <c r="EW105" s="661"/>
      <c r="EX105" s="630"/>
      <c r="EY105" s="630"/>
      <c r="EZ105" s="662"/>
      <c r="FA105" s="661"/>
      <c r="FB105" s="630"/>
      <c r="FC105" s="630"/>
      <c r="FD105" s="662"/>
    </row>
    <row r="106" spans="1:160">
      <c r="A106" s="753" t="s">
        <v>23</v>
      </c>
      <c r="B106" s="774">
        <v>2039</v>
      </c>
      <c r="C106" s="775">
        <f>+C105</f>
        <v>6129639.7812499925</v>
      </c>
      <c r="D106" s="775">
        <f>+D105</f>
        <v>445791.98409090913</v>
      </c>
      <c r="E106" s="775">
        <f t="shared" si="6"/>
        <v>5683847.7971590832</v>
      </c>
      <c r="F106" s="757">
        <f>+C$29*E106+D106</f>
        <v>1504466.3096924103</v>
      </c>
      <c r="G106" s="775">
        <f>+G105</f>
        <v>1563850.1188636343</v>
      </c>
      <c r="H106" s="775">
        <f>+H105</f>
        <v>115840.74954545456</v>
      </c>
      <c r="I106" s="775">
        <f t="shared" si="7"/>
        <v>1448009.3693181798</v>
      </c>
      <c r="J106" s="757">
        <f>+G$29*I106+H106</f>
        <v>385547.1873733275</v>
      </c>
      <c r="K106" s="776">
        <f>+K105</f>
        <v>3894101.9544886337</v>
      </c>
      <c r="L106" s="775">
        <f>+L105</f>
        <v>305419.76113636367</v>
      </c>
      <c r="M106" s="775">
        <f t="shared" si="8"/>
        <v>3588682.1933522699</v>
      </c>
      <c r="N106" s="757">
        <f>+K$29*M106+L106</f>
        <v>973848.23361310386</v>
      </c>
      <c r="O106" s="776">
        <f>+O105</f>
        <v>1769858.7196969658</v>
      </c>
      <c r="P106" s="775">
        <f>+P105</f>
        <v>119316.31818181818</v>
      </c>
      <c r="Q106" s="775">
        <f t="shared" si="11"/>
        <v>1650542.4015151476</v>
      </c>
      <c r="R106" s="757">
        <f>+O$29*Q106+P106</f>
        <v>426746.58833685552</v>
      </c>
      <c r="S106" s="661">
        <f>+S105</f>
        <v>767823.45515151194</v>
      </c>
      <c r="T106" s="630">
        <f>+T105</f>
        <v>58315.705454545445</v>
      </c>
      <c r="U106" s="630">
        <f t="shared" si="12"/>
        <v>709507.74969696649</v>
      </c>
      <c r="V106" s="662">
        <f>+S$29*U106+T106</f>
        <v>190468.7231329763</v>
      </c>
      <c r="W106" s="661">
        <f>+W105</f>
        <v>10283855.268939402</v>
      </c>
      <c r="X106" s="630">
        <f>+X105</f>
        <v>693293.61363636365</v>
      </c>
      <c r="Y106" s="630">
        <f t="shared" si="13"/>
        <v>9590561.6553030387</v>
      </c>
      <c r="Z106" s="662">
        <f>+W$29*Y106+X106</f>
        <v>2479633.036314501</v>
      </c>
      <c r="AA106" s="661">
        <f>+AA105</f>
        <v>6724929.9905303027</v>
      </c>
      <c r="AB106" s="630">
        <f>+AB105</f>
        <v>450833.29545454547</v>
      </c>
      <c r="AC106" s="630">
        <f t="shared" si="14"/>
        <v>6274096.6950757569</v>
      </c>
      <c r="AD106" s="662">
        <f>+AA$29*AC106+AB106</f>
        <v>1619447.4674839</v>
      </c>
      <c r="AE106" s="661">
        <f>+AE105</f>
        <v>66669.352272727367</v>
      </c>
      <c r="AF106" s="630">
        <f>+AF105</f>
        <v>4597.886363636364</v>
      </c>
      <c r="AG106" s="630">
        <f t="shared" si="15"/>
        <v>62071.465909090999</v>
      </c>
      <c r="AH106" s="662">
        <f>+AE$29*AG106+AF106</f>
        <v>16159.326721565823</v>
      </c>
      <c r="AI106" s="661">
        <f>+AI105</f>
        <v>4679501.0037878826</v>
      </c>
      <c r="AJ106" s="630">
        <f>+AJ105</f>
        <v>295547.43181818182</v>
      </c>
      <c r="AK106" s="630">
        <f t="shared" si="19"/>
        <v>4383953.571969701</v>
      </c>
      <c r="AL106" s="662">
        <f>+AI$29*AK106+AJ106</f>
        <v>1112103.268093932</v>
      </c>
      <c r="AM106" s="661">
        <f>+AM105</f>
        <v>1718437.1930681826</v>
      </c>
      <c r="AN106" s="630">
        <f>+AN105</f>
        <v>110866.91568181818</v>
      </c>
      <c r="AO106" s="630">
        <f t="shared" si="16"/>
        <v>1607570.2773863643</v>
      </c>
      <c r="AP106" s="662">
        <f>+AM$29*AO106+AN106</f>
        <v>410293.19168443605</v>
      </c>
      <c r="AQ106" s="661">
        <f>+AQ105</f>
        <v>14252682.73704545</v>
      </c>
      <c r="AR106" s="630">
        <f>+AR105</f>
        <v>904932.23727272719</v>
      </c>
      <c r="AS106" s="630">
        <f t="shared" si="17"/>
        <v>13347750.499772724</v>
      </c>
      <c r="AT106" s="662">
        <f>+AQ$29*AS106+AR106</f>
        <v>3391086.2060167431</v>
      </c>
      <c r="AU106" s="775"/>
      <c r="AV106" s="775"/>
      <c r="AW106" s="775"/>
      <c r="AX106" s="757"/>
      <c r="AY106" s="775"/>
      <c r="AZ106" s="775"/>
      <c r="BA106" s="775"/>
      <c r="BB106" s="757"/>
      <c r="BC106" s="775"/>
      <c r="BD106" s="775"/>
      <c r="BE106" s="775"/>
      <c r="BF106" s="757"/>
      <c r="BG106" s="775"/>
      <c r="BH106" s="775"/>
      <c r="BI106" s="775"/>
      <c r="BJ106" s="757"/>
      <c r="BK106" s="775"/>
      <c r="BL106" s="775"/>
      <c r="BM106" s="775"/>
      <c r="BN106" s="757"/>
      <c r="BO106" s="775"/>
      <c r="BP106" s="775"/>
      <c r="BQ106" s="775"/>
      <c r="BR106" s="757"/>
      <c r="BS106" s="661">
        <f>+BS105</f>
        <v>132974.18181818211</v>
      </c>
      <c r="BT106" s="630">
        <f>+BT105</f>
        <v>8310.886363636364</v>
      </c>
      <c r="BU106" s="630">
        <f t="shared" si="18"/>
        <v>124663.29545454575</v>
      </c>
      <c r="BV106" s="662">
        <f>+BS$29*BU106+BT106</f>
        <v>31530.690086840816</v>
      </c>
      <c r="BW106" s="661">
        <f>+BW105</f>
        <v>9373669.9431818351</v>
      </c>
      <c r="BX106" s="630">
        <f>+BX105</f>
        <v>576841.22727272729</v>
      </c>
      <c r="BY106" s="630">
        <f t="shared" si="20"/>
        <v>8796828.7159091085</v>
      </c>
      <c r="BZ106" s="662">
        <f>+BW$29*BY106+BX106</f>
        <v>2145373.2554206615</v>
      </c>
      <c r="CA106" s="661">
        <f>+CA105</f>
        <v>884551.20000000158</v>
      </c>
      <c r="CB106" s="630">
        <f>+CB105</f>
        <v>54433.919999999998</v>
      </c>
      <c r="CC106" s="630">
        <f t="shared" si="21"/>
        <v>830117.28000000154</v>
      </c>
      <c r="CD106" s="662">
        <f>+CA$29*CC106+CB106</f>
        <v>209051.68650905578</v>
      </c>
      <c r="CE106" s="661">
        <f>+CE105</f>
        <v>76781.722727272921</v>
      </c>
      <c r="CF106" s="630">
        <f>+CF105</f>
        <v>4725.0290909090909</v>
      </c>
      <c r="CG106" s="630">
        <f t="shared" si="22"/>
        <v>72056.693636363838</v>
      </c>
      <c r="CH106" s="662">
        <f>+CE$29*CG106+CF106</f>
        <v>18146.319432054435</v>
      </c>
      <c r="CI106" s="661">
        <f>+CI105</f>
        <v>213257.04545454506</v>
      </c>
      <c r="CJ106" s="630">
        <f>+CJ105</f>
        <v>12362.727272727272</v>
      </c>
      <c r="CK106" s="630">
        <f t="shared" si="24"/>
        <v>200894.3181818178</v>
      </c>
      <c r="CL106" s="662">
        <f>+CI$29*CK106+CJ106</f>
        <v>48183.496611028306</v>
      </c>
      <c r="CM106" s="661">
        <f>+CM105</f>
        <v>10278447.538352281</v>
      </c>
      <c r="CN106" s="630">
        <f>+CN105</f>
        <v>483691.64886363636</v>
      </c>
      <c r="CO106" s="630">
        <f t="shared" si="35"/>
        <v>9794755.8894886449</v>
      </c>
      <c r="CP106" s="662">
        <f>+CM$29*CO106+CN106</f>
        <v>2230160.6113397139</v>
      </c>
      <c r="CQ106" s="661">
        <f>+CQ105</f>
        <v>43885757.22392045</v>
      </c>
      <c r="CR106" s="630">
        <f>+CR105</f>
        <v>2017735.9643181816</v>
      </c>
      <c r="CS106" s="630">
        <f t="shared" si="40"/>
        <v>41868021.259602271</v>
      </c>
      <c r="CT106" s="662">
        <f>+CQ$29*CS106+CR106</f>
        <v>9483077.6711650863</v>
      </c>
      <c r="CU106" s="661">
        <f>+CU105</f>
        <v>14876298.195000025</v>
      </c>
      <c r="CV106" s="630">
        <f>+CV105</f>
        <v>676195.37250000006</v>
      </c>
      <c r="CW106" s="630">
        <f t="shared" si="41"/>
        <v>14200102.822500024</v>
      </c>
      <c r="CX106" s="662">
        <f>+CU$29*CW106+CV106</f>
        <v>3208166.4724719436</v>
      </c>
      <c r="CY106" s="782">
        <f t="shared" si="25"/>
        <v>14962084.986523395</v>
      </c>
      <c r="CZ106" s="779">
        <f>+CY106</f>
        <v>14962084.986523395</v>
      </c>
      <c r="DA106" s="752"/>
      <c r="DD106" s="661"/>
      <c r="DE106" s="630"/>
      <c r="DF106" s="630"/>
      <c r="DG106" s="662"/>
      <c r="DH106" s="661"/>
      <c r="DI106" s="630"/>
      <c r="DJ106" s="630"/>
      <c r="DK106" s="662"/>
      <c r="DL106" s="661"/>
      <c r="DM106" s="630"/>
      <c r="DN106" s="630"/>
      <c r="DO106" s="662"/>
      <c r="DP106" s="661"/>
      <c r="DQ106" s="630"/>
      <c r="DR106" s="630"/>
      <c r="DS106" s="662"/>
      <c r="DT106" s="661"/>
      <c r="DU106" s="630"/>
      <c r="DV106" s="630"/>
      <c r="DW106" s="662"/>
      <c r="DX106" s="661"/>
      <c r="DY106" s="630"/>
      <c r="DZ106" s="630"/>
      <c r="EA106" s="662"/>
      <c r="EB106" s="661"/>
      <c r="EC106" s="630"/>
      <c r="ED106" s="630"/>
      <c r="EE106" s="662"/>
      <c r="EF106" s="661"/>
      <c r="EG106" s="630"/>
      <c r="EH106" s="630"/>
      <c r="EI106" s="662"/>
      <c r="EJ106" s="661"/>
      <c r="EK106" s="630"/>
      <c r="EL106" s="630"/>
      <c r="EM106" s="662"/>
      <c r="EN106" s="661"/>
      <c r="EO106" s="630"/>
      <c r="EP106" s="630"/>
      <c r="EQ106" s="662"/>
      <c r="ER106" s="661"/>
      <c r="ES106" s="630"/>
      <c r="ET106" s="630"/>
      <c r="EU106" s="662"/>
      <c r="EW106" s="661"/>
      <c r="EX106" s="630"/>
      <c r="EY106" s="630"/>
      <c r="EZ106" s="662"/>
      <c r="FA106" s="661"/>
      <c r="FB106" s="630"/>
      <c r="FC106" s="630"/>
      <c r="FD106" s="662"/>
    </row>
    <row r="107" spans="1:160">
      <c r="A107" s="753" t="s">
        <v>24</v>
      </c>
      <c r="B107" s="774">
        <v>2040</v>
      </c>
      <c r="C107" s="775">
        <f>+E106</f>
        <v>5683847.7971590832</v>
      </c>
      <c r="D107" s="775">
        <f>+C$31</f>
        <v>445791.98409090913</v>
      </c>
      <c r="E107" s="775">
        <f t="shared" si="6"/>
        <v>5238055.8130681738</v>
      </c>
      <c r="F107" s="757">
        <f>+C$28*E107+D107</f>
        <v>1379771.5548383896</v>
      </c>
      <c r="G107" s="775">
        <f>+I106</f>
        <v>1448009.3693181798</v>
      </c>
      <c r="H107" s="775">
        <f>+G$31</f>
        <v>115840.74954545456</v>
      </c>
      <c r="I107" s="775">
        <f t="shared" si="7"/>
        <v>1332168.6197727253</v>
      </c>
      <c r="J107" s="757">
        <f>+G$28*I107+H107</f>
        <v>353375.1172691533</v>
      </c>
      <c r="K107" s="776">
        <f>+M106</f>
        <v>3588682.1933522699</v>
      </c>
      <c r="L107" s="775">
        <f>+K$31</f>
        <v>305419.76113636367</v>
      </c>
      <c r="M107" s="775">
        <f t="shared" si="8"/>
        <v>3283262.4322159062</v>
      </c>
      <c r="N107" s="757">
        <f>+K$28*M107+L107</f>
        <v>890846.90176397539</v>
      </c>
      <c r="O107" s="776">
        <f>+Q106</f>
        <v>1650542.4015151476</v>
      </c>
      <c r="P107" s="775">
        <f>+O$31</f>
        <v>119316.31818181818</v>
      </c>
      <c r="Q107" s="775">
        <f t="shared" si="11"/>
        <v>1531226.0833333295</v>
      </c>
      <c r="R107" s="757">
        <f>+O$28*Q107+P107</f>
        <v>392343.93206501438</v>
      </c>
      <c r="S107" s="661">
        <f>+U106</f>
        <v>709507.74969696649</v>
      </c>
      <c r="T107" s="630">
        <f>+S$31</f>
        <v>58315.705454545445</v>
      </c>
      <c r="U107" s="630">
        <f t="shared" si="12"/>
        <v>651192.04424242105</v>
      </c>
      <c r="V107" s="662">
        <f>+S$28*U107+T107</f>
        <v>174427.5010635845</v>
      </c>
      <c r="W107" s="661">
        <f>+Y106</f>
        <v>9590561.6553030387</v>
      </c>
      <c r="X107" s="630">
        <f>+W$31</f>
        <v>693293.61363636365</v>
      </c>
      <c r="Y107" s="630">
        <f t="shared" si="13"/>
        <v>8897268.0416666754</v>
      </c>
      <c r="Z107" s="662">
        <f>+W$28*Y107+X107</f>
        <v>2279734.6297189393</v>
      </c>
      <c r="AA107" s="661">
        <f>+AC106</f>
        <v>6274096.6950757569</v>
      </c>
      <c r="AB107" s="630">
        <f>+AA$31</f>
        <v>450833.29545454547</v>
      </c>
      <c r="AC107" s="630">
        <f t="shared" si="14"/>
        <v>5823263.399621211</v>
      </c>
      <c r="AD107" s="662">
        <f>+AA$28*AC107+AB107</f>
        <v>1489159.2019404422</v>
      </c>
      <c r="AE107" s="661">
        <f>+AG106</f>
        <v>62071.465909090999</v>
      </c>
      <c r="AF107" s="630">
        <f>+AE$31</f>
        <v>4597.886363636364</v>
      </c>
      <c r="AG107" s="630">
        <f t="shared" si="15"/>
        <v>57473.579545454631</v>
      </c>
      <c r="AH107" s="662">
        <f>+AE$28*AG107+AF107</f>
        <v>14845.801061158936</v>
      </c>
      <c r="AI107" s="661">
        <f>+AK106</f>
        <v>4383953.571969701</v>
      </c>
      <c r="AJ107" s="630">
        <f>+AI$31</f>
        <v>295547.43181818182</v>
      </c>
      <c r="AK107" s="630">
        <f t="shared" si="19"/>
        <v>4088406.1401515193</v>
      </c>
      <c r="AL107" s="662">
        <f>+AI$28*AK107+AJ107</f>
        <v>1024536.9554298846</v>
      </c>
      <c r="AM107" s="661">
        <f>+AO106</f>
        <v>1607570.2773863643</v>
      </c>
      <c r="AN107" s="630">
        <f>+AM$31</f>
        <v>110866.91568181818</v>
      </c>
      <c r="AO107" s="630">
        <f t="shared" si="16"/>
        <v>1496703.361704546</v>
      </c>
      <c r="AP107" s="662">
        <f>+AM$28*AO107+AN107</f>
        <v>377738.9027678651</v>
      </c>
      <c r="AQ107" s="661">
        <f>+AS106</f>
        <v>13347750.499772724</v>
      </c>
      <c r="AR107" s="630">
        <f>+AQ$31</f>
        <v>904932.23727272719</v>
      </c>
      <c r="AS107" s="630">
        <f t="shared" si="17"/>
        <v>12442818.262499997</v>
      </c>
      <c r="AT107" s="662">
        <f>+AQ$28*AS107+AR107</f>
        <v>3123568.0201723939</v>
      </c>
      <c r="AU107" s="775"/>
      <c r="AV107" s="775"/>
      <c r="AW107" s="775"/>
      <c r="AX107" s="757"/>
      <c r="AY107" s="775"/>
      <c r="AZ107" s="775"/>
      <c r="BA107" s="775"/>
      <c r="BB107" s="757"/>
      <c r="BC107" s="775"/>
      <c r="BD107" s="775"/>
      <c r="BE107" s="775"/>
      <c r="BF107" s="757"/>
      <c r="BG107" s="775"/>
      <c r="BH107" s="775"/>
      <c r="BI107" s="775"/>
      <c r="BJ107" s="757"/>
      <c r="BK107" s="775"/>
      <c r="BL107" s="775"/>
      <c r="BM107" s="775"/>
      <c r="BN107" s="757"/>
      <c r="BO107" s="775"/>
      <c r="BP107" s="775"/>
      <c r="BQ107" s="775"/>
      <c r="BR107" s="757"/>
      <c r="BS107" s="661">
        <f>+BU106</f>
        <v>124663.29545454575</v>
      </c>
      <c r="BT107" s="630">
        <f>+BS$31</f>
        <v>8310.886363636364</v>
      </c>
      <c r="BU107" s="630">
        <f t="shared" si="18"/>
        <v>116352.40909090938</v>
      </c>
      <c r="BV107" s="662">
        <f>+BS$28*BU107+BT107</f>
        <v>29057.281013927277</v>
      </c>
      <c r="BW107" s="661">
        <f>+BY106</f>
        <v>8796828.7159091085</v>
      </c>
      <c r="BX107" s="630">
        <f>+BW$31</f>
        <v>576841.22727272729</v>
      </c>
      <c r="BY107" s="630">
        <f t="shared" si="20"/>
        <v>8219987.488636381</v>
      </c>
      <c r="BZ107" s="662">
        <f>+BW$28*BY107+BX107</f>
        <v>2042518.6961978462</v>
      </c>
      <c r="CA107" s="661">
        <f>+CC106</f>
        <v>830117.28000000154</v>
      </c>
      <c r="CB107" s="630">
        <f>+CA$31</f>
        <v>54433.919999999998</v>
      </c>
      <c r="CC107" s="630">
        <f t="shared" si="21"/>
        <v>775683.3600000015</v>
      </c>
      <c r="CD107" s="662">
        <f>+CA$28*CC107+CB107</f>
        <v>192743.33048801223</v>
      </c>
      <c r="CE107" s="661">
        <f>+CG106</f>
        <v>72056.693636363838</v>
      </c>
      <c r="CF107" s="630">
        <f>+CE$31</f>
        <v>4725.0290909090909</v>
      </c>
      <c r="CG107" s="630">
        <f t="shared" si="22"/>
        <v>67331.664545454754</v>
      </c>
      <c r="CH107" s="662">
        <f>+CE$28*CG107+CF107</f>
        <v>16730.704745029638</v>
      </c>
      <c r="CI107" s="661">
        <f>+CK106</f>
        <v>200894.3181818178</v>
      </c>
      <c r="CJ107" s="630">
        <f>+CI$31</f>
        <v>12362.727272727272</v>
      </c>
      <c r="CK107" s="630">
        <f t="shared" si="24"/>
        <v>188531.59090909053</v>
      </c>
      <c r="CL107" s="662">
        <f>+CI$28*CK107+CJ107</f>
        <v>45979.14157482516</v>
      </c>
      <c r="CM107" s="661">
        <f>+CO106</f>
        <v>9794755.8894886449</v>
      </c>
      <c r="CN107" s="630">
        <f>+CM$31</f>
        <v>483691.64886363636</v>
      </c>
      <c r="CO107" s="630">
        <f t="shared" si="35"/>
        <v>9311064.2406250089</v>
      </c>
      <c r="CP107" s="662">
        <f>+CM$28*CO107+CN107</f>
        <v>2143915.2304766979</v>
      </c>
      <c r="CQ107" s="661">
        <f>+CS106</f>
        <v>41868021.259602271</v>
      </c>
      <c r="CR107" s="630">
        <f>+CQ$31</f>
        <v>2017735.9643181816</v>
      </c>
      <c r="CS107" s="630">
        <f t="shared" si="40"/>
        <v>39850285.295284092</v>
      </c>
      <c r="CT107" s="662">
        <f>+CQ$28*CS107+CR107</f>
        <v>9123302.1672206577</v>
      </c>
      <c r="CU107" s="661">
        <f>+CW106</f>
        <v>14200102.822500024</v>
      </c>
      <c r="CV107" s="630">
        <f>+CU$31</f>
        <v>676195.37250000006</v>
      </c>
      <c r="CW107" s="630">
        <f t="shared" si="41"/>
        <v>13523907.450000023</v>
      </c>
      <c r="CX107" s="662">
        <f>+CU$28*CW107+CV107</f>
        <v>3087596.4200923271</v>
      </c>
      <c r="CY107" s="782">
        <f t="shared" si="25"/>
        <v>13827377.672110446</v>
      </c>
      <c r="CZ107" s="756"/>
      <c r="DA107" s="778">
        <f>+CY107</f>
        <v>13827377.672110446</v>
      </c>
      <c r="DD107" s="661"/>
      <c r="DE107" s="630"/>
      <c r="DF107" s="630"/>
      <c r="DG107" s="662"/>
      <c r="DH107" s="661"/>
      <c r="DI107" s="630"/>
      <c r="DJ107" s="630"/>
      <c r="DK107" s="662"/>
      <c r="DL107" s="661"/>
      <c r="DM107" s="630"/>
      <c r="DN107" s="630"/>
      <c r="DO107" s="662"/>
      <c r="DP107" s="661"/>
      <c r="DQ107" s="630"/>
      <c r="DR107" s="630"/>
      <c r="DS107" s="662"/>
      <c r="DT107" s="661"/>
      <c r="DU107" s="630"/>
      <c r="DV107" s="630"/>
      <c r="DW107" s="662"/>
      <c r="DX107" s="661"/>
      <c r="DY107" s="630"/>
      <c r="DZ107" s="630"/>
      <c r="EA107" s="662"/>
      <c r="EB107" s="661"/>
      <c r="EC107" s="630"/>
      <c r="ED107" s="630"/>
      <c r="EE107" s="662"/>
      <c r="EF107" s="661"/>
      <c r="EG107" s="630"/>
      <c r="EH107" s="630"/>
      <c r="EI107" s="662"/>
      <c r="EJ107" s="661"/>
      <c r="EK107" s="630"/>
      <c r="EL107" s="630"/>
      <c r="EM107" s="662"/>
      <c r="EN107" s="661"/>
      <c r="EO107" s="630"/>
      <c r="EP107" s="630"/>
      <c r="EQ107" s="662"/>
      <c r="ER107" s="661"/>
      <c r="ES107" s="630"/>
      <c r="ET107" s="630"/>
      <c r="EU107" s="662"/>
      <c r="EW107" s="661"/>
      <c r="EX107" s="630"/>
      <c r="EY107" s="630"/>
      <c r="EZ107" s="662"/>
      <c r="FA107" s="661"/>
      <c r="FB107" s="630"/>
      <c r="FC107" s="630"/>
      <c r="FD107" s="662"/>
    </row>
    <row r="108" spans="1:160">
      <c r="A108" s="753" t="s">
        <v>23</v>
      </c>
      <c r="B108" s="774">
        <v>2040</v>
      </c>
      <c r="C108" s="775">
        <f>+C107</f>
        <v>5683847.7971590832</v>
      </c>
      <c r="D108" s="775">
        <f>+D107</f>
        <v>445791.98409090913</v>
      </c>
      <c r="E108" s="775">
        <f t="shared" si="6"/>
        <v>5238055.8130681738</v>
      </c>
      <c r="F108" s="757">
        <f>+C$29*E108+D108</f>
        <v>1421433.0292530768</v>
      </c>
      <c r="G108" s="775">
        <f>+G107</f>
        <v>1448009.3693181798</v>
      </c>
      <c r="H108" s="775">
        <f>+H107</f>
        <v>115840.74954545456</v>
      </c>
      <c r="I108" s="775">
        <f t="shared" si="7"/>
        <v>1332168.6197727253</v>
      </c>
      <c r="J108" s="757">
        <f>+G$29*I108+H108</f>
        <v>363970.67234709766</v>
      </c>
      <c r="K108" s="776">
        <f>+K107</f>
        <v>3588682.1933522699</v>
      </c>
      <c r="L108" s="775">
        <f>+L107</f>
        <v>305419.76113636367</v>
      </c>
      <c r="M108" s="775">
        <f t="shared" si="8"/>
        <v>3283262.4322159062</v>
      </c>
      <c r="N108" s="757">
        <f>+K$29*M108+L108</f>
        <v>916960.70404061512</v>
      </c>
      <c r="O108" s="776">
        <f>+O107</f>
        <v>1650542.4015151476</v>
      </c>
      <c r="P108" s="775">
        <f>+P107</f>
        <v>119316.31818181818</v>
      </c>
      <c r="Q108" s="775">
        <f t="shared" si="11"/>
        <v>1531226.0833333295</v>
      </c>
      <c r="R108" s="757">
        <f>+O$29*Q108+P108</f>
        <v>404522.71338588896</v>
      </c>
      <c r="S108" s="661">
        <f>+S107</f>
        <v>709507.74969696649</v>
      </c>
      <c r="T108" s="630">
        <f>+T107</f>
        <v>58315.705454545445</v>
      </c>
      <c r="U108" s="630">
        <f t="shared" si="12"/>
        <v>651192.04424242105</v>
      </c>
      <c r="V108" s="662">
        <f>+S$29*U108+T108</f>
        <v>179606.83126899565</v>
      </c>
      <c r="W108" s="661">
        <f>+W107</f>
        <v>9590561.6553030387</v>
      </c>
      <c r="X108" s="630">
        <f>+X107</f>
        <v>693293.61363636365</v>
      </c>
      <c r="Y108" s="630">
        <f t="shared" si="13"/>
        <v>8897268.0416666754</v>
      </c>
      <c r="Z108" s="662">
        <f>+W$29*Y108+X108</f>
        <v>2350500.0660004192</v>
      </c>
      <c r="AA108" s="661">
        <f>+AA107</f>
        <v>6274096.6950757569</v>
      </c>
      <c r="AB108" s="630">
        <f>+AB107</f>
        <v>450833.29545454547</v>
      </c>
      <c r="AC108" s="630">
        <f t="shared" si="14"/>
        <v>5823263.399621211</v>
      </c>
      <c r="AD108" s="662">
        <f>+AA$29*AC108+AB108</f>
        <v>1535475.1916494553</v>
      </c>
      <c r="AE108" s="661">
        <f>+AE107</f>
        <v>62071.465909090999</v>
      </c>
      <c r="AF108" s="630">
        <f>+AF107</f>
        <v>4597.886363636364</v>
      </c>
      <c r="AG108" s="630">
        <f t="shared" si="15"/>
        <v>57473.579545454631</v>
      </c>
      <c r="AH108" s="662">
        <f>+AE$29*AG108+AF108</f>
        <v>15302.923732089566</v>
      </c>
      <c r="AI108" s="661">
        <f>+AI107</f>
        <v>4383953.571969701</v>
      </c>
      <c r="AJ108" s="630">
        <f>+AJ107</f>
        <v>295547.43181818182</v>
      </c>
      <c r="AK108" s="630">
        <f t="shared" si="19"/>
        <v>4088406.1401515193</v>
      </c>
      <c r="AL108" s="662">
        <f>+AI$29*AK108+AJ108</f>
        <v>1057054.5600303982</v>
      </c>
      <c r="AM108" s="661">
        <f>+AM107</f>
        <v>1607570.2773863643</v>
      </c>
      <c r="AN108" s="630">
        <f>+AN107</f>
        <v>110866.91568181818</v>
      </c>
      <c r="AO108" s="630">
        <f t="shared" si="16"/>
        <v>1496703.361704546</v>
      </c>
      <c r="AP108" s="662">
        <f>+AM$29*AO108+AN108</f>
        <v>389643.1036842555</v>
      </c>
      <c r="AQ108" s="661">
        <f>+AQ107</f>
        <v>13347750.499772724</v>
      </c>
      <c r="AR108" s="630">
        <f>+AR107</f>
        <v>904932.23727272719</v>
      </c>
      <c r="AS108" s="630">
        <f t="shared" si="17"/>
        <v>12442818.262499997</v>
      </c>
      <c r="AT108" s="662">
        <f>+AQ$29*AS108+AR108</f>
        <v>3222533.3945764713</v>
      </c>
      <c r="AU108" s="775"/>
      <c r="AV108" s="775"/>
      <c r="AW108" s="775"/>
      <c r="AX108" s="757"/>
      <c r="AY108" s="775"/>
      <c r="AZ108" s="775"/>
      <c r="BA108" s="775"/>
      <c r="BB108" s="757"/>
      <c r="BC108" s="775"/>
      <c r="BD108" s="775"/>
      <c r="BE108" s="775"/>
      <c r="BF108" s="757"/>
      <c r="BG108" s="775"/>
      <c r="BH108" s="775"/>
      <c r="BI108" s="775"/>
      <c r="BJ108" s="757"/>
      <c r="BK108" s="775"/>
      <c r="BL108" s="775"/>
      <c r="BM108" s="775"/>
      <c r="BN108" s="757"/>
      <c r="BO108" s="775"/>
      <c r="BP108" s="775"/>
      <c r="BQ108" s="775"/>
      <c r="BR108" s="757"/>
      <c r="BS108" s="661">
        <f>+BS107</f>
        <v>124663.29545454575</v>
      </c>
      <c r="BT108" s="630">
        <f>+BT107</f>
        <v>8310.886363636364</v>
      </c>
      <c r="BU108" s="630">
        <f t="shared" si="18"/>
        <v>116352.40909090938</v>
      </c>
      <c r="BV108" s="662">
        <f>+BS$29*BU108+BT108</f>
        <v>29982.703171960518</v>
      </c>
      <c r="BW108" s="661">
        <f>+BW107</f>
        <v>8796828.7159091085</v>
      </c>
      <c r="BX108" s="630">
        <f>+BX107</f>
        <v>576841.22727272729</v>
      </c>
      <c r="BY108" s="630">
        <f t="shared" si="20"/>
        <v>8219987.488636381</v>
      </c>
      <c r="BZ108" s="662">
        <f>+BW$29*BY108+BX108</f>
        <v>2042518.6961978462</v>
      </c>
      <c r="CA108" s="661">
        <f>+CA107</f>
        <v>830117.28000000154</v>
      </c>
      <c r="CB108" s="630">
        <f>+CB107</f>
        <v>54433.919999999998</v>
      </c>
      <c r="CC108" s="630">
        <f t="shared" si="21"/>
        <v>775683.3600000015</v>
      </c>
      <c r="CD108" s="662">
        <f>+CA$29*CC108+CB108</f>
        <v>198912.81657403574</v>
      </c>
      <c r="CE108" s="661">
        <f>+CE107</f>
        <v>72056.693636363838</v>
      </c>
      <c r="CF108" s="630">
        <f>+CF107</f>
        <v>4725.0290909090909</v>
      </c>
      <c r="CG108" s="630">
        <f t="shared" si="22"/>
        <v>67331.664545454754</v>
      </c>
      <c r="CH108" s="662">
        <f>+CE$29*CG108+CF108</f>
        <v>17266.234819520323</v>
      </c>
      <c r="CI108" s="661">
        <f>+CI107</f>
        <v>200894.3181818178</v>
      </c>
      <c r="CJ108" s="630">
        <f>+CJ107</f>
        <v>12362.727272727272</v>
      </c>
      <c r="CK108" s="630">
        <f t="shared" si="24"/>
        <v>188531.59090909053</v>
      </c>
      <c r="CL108" s="662">
        <f>+CI$29*CK108+CJ108</f>
        <v>45979.14157482516</v>
      </c>
      <c r="CM108" s="661">
        <f>+CM107</f>
        <v>9794755.8894886449</v>
      </c>
      <c r="CN108" s="630">
        <f>+CN107</f>
        <v>483691.64886363636</v>
      </c>
      <c r="CO108" s="630">
        <f t="shared" si="35"/>
        <v>9311064.2406250089</v>
      </c>
      <c r="CP108" s="662">
        <f>+CM$29*CO108+CN108</f>
        <v>2143915.2304766979</v>
      </c>
      <c r="CQ108" s="661">
        <f>+CQ107</f>
        <v>41868021.259602271</v>
      </c>
      <c r="CR108" s="630">
        <f>+CR107</f>
        <v>2017735.9643181816</v>
      </c>
      <c r="CS108" s="630">
        <f t="shared" si="40"/>
        <v>39850285.295284092</v>
      </c>
      <c r="CT108" s="662">
        <f>+CQ$29*CS108+CR108</f>
        <v>9123302.1672206577</v>
      </c>
      <c r="CU108" s="661">
        <f>+CU107</f>
        <v>14200102.822500024</v>
      </c>
      <c r="CV108" s="630">
        <f>+CV107</f>
        <v>676195.37250000006</v>
      </c>
      <c r="CW108" s="630">
        <f t="shared" si="41"/>
        <v>13523907.450000023</v>
      </c>
      <c r="CX108" s="662">
        <f>+CU$29*CW108+CV108</f>
        <v>3087596.4200923271</v>
      </c>
      <c r="CY108" s="782">
        <f t="shared" si="25"/>
        <v>14191662.782306951</v>
      </c>
      <c r="CZ108" s="779">
        <f>+CY108</f>
        <v>14191662.782306951</v>
      </c>
      <c r="DA108" s="752"/>
      <c r="DD108" s="661"/>
      <c r="DE108" s="630"/>
      <c r="DF108" s="630"/>
      <c r="DG108" s="662"/>
      <c r="DH108" s="661"/>
      <c r="DI108" s="630"/>
      <c r="DJ108" s="630"/>
      <c r="DK108" s="662"/>
      <c r="DL108" s="661"/>
      <c r="DM108" s="630"/>
      <c r="DN108" s="630"/>
      <c r="DO108" s="662"/>
      <c r="DP108" s="661"/>
      <c r="DQ108" s="630"/>
      <c r="DR108" s="630"/>
      <c r="DS108" s="662"/>
      <c r="DT108" s="661"/>
      <c r="DU108" s="630"/>
      <c r="DV108" s="630"/>
      <c r="DW108" s="662"/>
      <c r="DX108" s="661"/>
      <c r="DY108" s="630"/>
      <c r="DZ108" s="630"/>
      <c r="EA108" s="662"/>
      <c r="EB108" s="661"/>
      <c r="EC108" s="630"/>
      <c r="ED108" s="630"/>
      <c r="EE108" s="662"/>
      <c r="EF108" s="661"/>
      <c r="EG108" s="630"/>
      <c r="EH108" s="630"/>
      <c r="EI108" s="662"/>
      <c r="EJ108" s="661"/>
      <c r="EK108" s="630"/>
      <c r="EL108" s="630"/>
      <c r="EM108" s="662"/>
      <c r="EN108" s="661"/>
      <c r="EO108" s="630"/>
      <c r="EP108" s="630"/>
      <c r="EQ108" s="662"/>
      <c r="ER108" s="661"/>
      <c r="ES108" s="630"/>
      <c r="ET108" s="630"/>
      <c r="EU108" s="662"/>
      <c r="EW108" s="661"/>
      <c r="EX108" s="630"/>
      <c r="EY108" s="630"/>
      <c r="EZ108" s="662"/>
      <c r="FA108" s="661"/>
      <c r="FB108" s="630"/>
      <c r="FC108" s="630"/>
      <c r="FD108" s="662"/>
    </row>
    <row r="109" spans="1:160">
      <c r="A109" s="753" t="s">
        <v>24</v>
      </c>
      <c r="B109" s="774">
        <v>2041</v>
      </c>
      <c r="C109" s="775">
        <f>+E108</f>
        <v>5238055.8130681738</v>
      </c>
      <c r="D109" s="775">
        <f>+C$31</f>
        <v>445791.98409090913</v>
      </c>
      <c r="E109" s="775">
        <f t="shared" ref="E109:E129" si="72">+C109-D109</f>
        <v>4792263.8289772645</v>
      </c>
      <c r="F109" s="757">
        <f>+C$28*E109+D109</f>
        <v>1300283.9317960506</v>
      </c>
      <c r="G109" s="775">
        <f>+I108</f>
        <v>1332168.6197727253</v>
      </c>
      <c r="H109" s="775">
        <f>+G$31</f>
        <v>115840.74954545456</v>
      </c>
      <c r="I109" s="775">
        <f t="shared" ref="I109:I129" si="73">+G109-H109</f>
        <v>1216327.8702272708</v>
      </c>
      <c r="J109" s="757">
        <f>+G$28*I109+H109</f>
        <v>332719.95485839684</v>
      </c>
      <c r="K109" s="776">
        <f>+M108</f>
        <v>3283262.4322159062</v>
      </c>
      <c r="L109" s="775">
        <f>+K$31</f>
        <v>305419.76113636367</v>
      </c>
      <c r="M109" s="775">
        <f t="shared" ref="M109:M130" si="74">+K109-L109</f>
        <v>2977842.6710795425</v>
      </c>
      <c r="N109" s="757">
        <f>+K$28*M109+L109</f>
        <v>836388.56310094171</v>
      </c>
      <c r="O109" s="776">
        <f>+Q108</f>
        <v>1531226.0833333295</v>
      </c>
      <c r="P109" s="775">
        <f>+O$31</f>
        <v>119316.31818181818</v>
      </c>
      <c r="Q109" s="775">
        <f t="shared" si="11"/>
        <v>1411909.7651515114</v>
      </c>
      <c r="R109" s="757">
        <f>+O$28*Q109+P109</f>
        <v>371069.05306112894</v>
      </c>
      <c r="S109" s="661">
        <f>+U108</f>
        <v>651192.04424242105</v>
      </c>
      <c r="T109" s="630">
        <f>+S$31</f>
        <v>58315.705454545445</v>
      </c>
      <c r="U109" s="630">
        <f t="shared" si="12"/>
        <v>592876.3387878756</v>
      </c>
      <c r="V109" s="662">
        <f>+S$28*U109+T109</f>
        <v>164029.42981501378</v>
      </c>
      <c r="W109" s="661">
        <f>+Y108</f>
        <v>8897268.0416666754</v>
      </c>
      <c r="X109" s="630">
        <f>+W$31</f>
        <v>693293.61363636365</v>
      </c>
      <c r="Y109" s="630">
        <f t="shared" si="13"/>
        <v>8203974.4280303121</v>
      </c>
      <c r="Z109" s="662">
        <f>+W$28*Y109+X109</f>
        <v>2156115.8492449727</v>
      </c>
      <c r="AA109" s="661">
        <f>+AC108</f>
        <v>5823263.399621211</v>
      </c>
      <c r="AB109" s="630">
        <f>+AA$31</f>
        <v>450833.29545454547</v>
      </c>
      <c r="AC109" s="630">
        <f t="shared" si="14"/>
        <v>5372430.1041666651</v>
      </c>
      <c r="AD109" s="662">
        <f>+AA$28*AC109+AB109</f>
        <v>1408772.6801479855</v>
      </c>
      <c r="AE109" s="661">
        <f>+AG108</f>
        <v>57473.579545454631</v>
      </c>
      <c r="AF109" s="630">
        <f>+AE$31</f>
        <v>4597.886363636364</v>
      </c>
      <c r="AG109" s="630">
        <f t="shared" si="15"/>
        <v>52875.693181818264</v>
      </c>
      <c r="AH109" s="662">
        <f>+AE$28*AG109+AF109</f>
        <v>14025.967885357131</v>
      </c>
      <c r="AI109" s="661">
        <f>+AK108</f>
        <v>4088406.1401515193</v>
      </c>
      <c r="AJ109" s="630">
        <f>+AI$31</f>
        <v>295547.43181818182</v>
      </c>
      <c r="AK109" s="630">
        <f t="shared" si="19"/>
        <v>3792858.7083333377</v>
      </c>
      <c r="AL109" s="662">
        <f>+AI$28*AK109+AJ109</f>
        <v>971838.91757843643</v>
      </c>
      <c r="AM109" s="661">
        <f>+AO108</f>
        <v>1496703.361704546</v>
      </c>
      <c r="AN109" s="630">
        <f>+AM$31</f>
        <v>110866.91568181818</v>
      </c>
      <c r="AO109" s="630">
        <f t="shared" si="16"/>
        <v>1385836.4460227278</v>
      </c>
      <c r="AP109" s="662">
        <f>+AM$28*AO109+AN109</f>
        <v>357970.60742815793</v>
      </c>
      <c r="AQ109" s="661">
        <f>+AS108</f>
        <v>12442818.262499997</v>
      </c>
      <c r="AR109" s="630">
        <f>+AQ$31</f>
        <v>904932.23727272719</v>
      </c>
      <c r="AS109" s="630">
        <f t="shared" si="17"/>
        <v>11537886.025227271</v>
      </c>
      <c r="AT109" s="662">
        <f>+AQ$28*AS109+AR109</f>
        <v>2962212.6905069635</v>
      </c>
      <c r="AU109" s="775"/>
      <c r="AV109" s="775"/>
      <c r="AW109" s="775"/>
      <c r="AX109" s="757"/>
      <c r="AY109" s="775"/>
      <c r="AZ109" s="775"/>
      <c r="BA109" s="775"/>
      <c r="BB109" s="757"/>
      <c r="BC109" s="775"/>
      <c r="BD109" s="775"/>
      <c r="BE109" s="775"/>
      <c r="BF109" s="757"/>
      <c r="BG109" s="775"/>
      <c r="BH109" s="775"/>
      <c r="BI109" s="775"/>
      <c r="BJ109" s="757"/>
      <c r="BK109" s="775"/>
      <c r="BL109" s="775"/>
      <c r="BM109" s="775"/>
      <c r="BN109" s="757"/>
      <c r="BO109" s="775"/>
      <c r="BP109" s="775"/>
      <c r="BQ109" s="775"/>
      <c r="BR109" s="757"/>
      <c r="BS109" s="661">
        <f>+BU108</f>
        <v>116352.40909090938</v>
      </c>
      <c r="BT109" s="630">
        <f>+BS$31</f>
        <v>8310.886363636364</v>
      </c>
      <c r="BU109" s="630">
        <f t="shared" si="18"/>
        <v>108041.52272727301</v>
      </c>
      <c r="BV109" s="662">
        <f>+BS$28*BU109+BT109</f>
        <v>27575.395681763643</v>
      </c>
      <c r="BW109" s="661">
        <f>+BY108</f>
        <v>8219987.488636381</v>
      </c>
      <c r="BX109" s="630">
        <f>+BW$31</f>
        <v>576841.22727272729</v>
      </c>
      <c r="BY109" s="630">
        <f t="shared" si="20"/>
        <v>7643146.2613636535</v>
      </c>
      <c r="BZ109" s="662">
        <f>+BW$28*BY109+BX109</f>
        <v>1939664.1369750309</v>
      </c>
      <c r="CA109" s="661">
        <f>+CC108</f>
        <v>775683.3600000015</v>
      </c>
      <c r="CB109" s="630">
        <f>+CA$31</f>
        <v>54433.919999999998</v>
      </c>
      <c r="CC109" s="630">
        <f t="shared" si="21"/>
        <v>721249.44000000146</v>
      </c>
      <c r="CD109" s="662">
        <f>+CA$28*CC109+CB109</f>
        <v>183037.40694499383</v>
      </c>
      <c r="CE109" s="661">
        <f>+CG108</f>
        <v>67331.664545454754</v>
      </c>
      <c r="CF109" s="630">
        <f>+CE$31</f>
        <v>4725.0290909090909</v>
      </c>
      <c r="CG109" s="630">
        <f t="shared" si="22"/>
        <v>62606.635454545663</v>
      </c>
      <c r="CH109" s="662">
        <f>+CE$28*CG109+CF109</f>
        <v>15888.201190354514</v>
      </c>
      <c r="CI109" s="661">
        <f>+CK108</f>
        <v>188531.59090909053</v>
      </c>
      <c r="CJ109" s="630">
        <f>+CI$31</f>
        <v>12362.727272727272</v>
      </c>
      <c r="CK109" s="630">
        <f t="shared" si="24"/>
        <v>176168.86363636327</v>
      </c>
      <c r="CL109" s="662">
        <f>+CI$28*CK109+CJ109</f>
        <v>43774.786538622022</v>
      </c>
      <c r="CM109" s="661">
        <f>+CO108</f>
        <v>9311064.2406250089</v>
      </c>
      <c r="CN109" s="630">
        <f>+CM$31</f>
        <v>483691.64886363636</v>
      </c>
      <c r="CO109" s="630">
        <f t="shared" si="35"/>
        <v>8827372.591761373</v>
      </c>
      <c r="CP109" s="662">
        <f>+CM$28*CO109+CN109</f>
        <v>2057669.8496136819</v>
      </c>
      <c r="CQ109" s="661">
        <f>+CS108</f>
        <v>39850285.295284092</v>
      </c>
      <c r="CR109" s="630">
        <f>+CQ$31</f>
        <v>2017735.9643181816</v>
      </c>
      <c r="CS109" s="630">
        <f t="shared" si="40"/>
        <v>37832549.330965914</v>
      </c>
      <c r="CT109" s="662">
        <f>+CQ$28*CS109+CR109</f>
        <v>8763526.6632762291</v>
      </c>
      <c r="CU109" s="661">
        <f>+CW108</f>
        <v>13523907.450000023</v>
      </c>
      <c r="CV109" s="630">
        <f>+CU$31</f>
        <v>676195.37250000006</v>
      </c>
      <c r="CW109" s="630">
        <f t="shared" si="41"/>
        <v>12847712.077500023</v>
      </c>
      <c r="CX109" s="662">
        <f>+CU$28*CW109+CV109</f>
        <v>2967026.367712711</v>
      </c>
      <c r="CY109" s="782">
        <f t="shared" si="25"/>
        <v>13085367.572754169</v>
      </c>
      <c r="CZ109" s="756"/>
      <c r="DA109" s="778">
        <f>+CY109</f>
        <v>13085367.572754169</v>
      </c>
      <c r="DD109" s="661"/>
      <c r="DE109" s="630"/>
      <c r="DF109" s="630"/>
      <c r="DG109" s="662"/>
      <c r="DH109" s="661"/>
      <c r="DI109" s="630"/>
      <c r="DJ109" s="630"/>
      <c r="DK109" s="662"/>
      <c r="DL109" s="661"/>
      <c r="DM109" s="630"/>
      <c r="DN109" s="630"/>
      <c r="DO109" s="662"/>
      <c r="DP109" s="661"/>
      <c r="DQ109" s="630"/>
      <c r="DR109" s="630"/>
      <c r="DS109" s="662"/>
      <c r="DT109" s="661"/>
      <c r="DU109" s="630"/>
      <c r="DV109" s="630"/>
      <c r="DW109" s="662"/>
      <c r="DX109" s="661"/>
      <c r="DY109" s="630"/>
      <c r="DZ109" s="630"/>
      <c r="EA109" s="662"/>
      <c r="EB109" s="661"/>
      <c r="EC109" s="630"/>
      <c r="ED109" s="630"/>
      <c r="EE109" s="662"/>
      <c r="EF109" s="661"/>
      <c r="EG109" s="630"/>
      <c r="EH109" s="630"/>
      <c r="EI109" s="662"/>
      <c r="EJ109" s="661"/>
      <c r="EK109" s="630"/>
      <c r="EL109" s="630"/>
      <c r="EM109" s="662"/>
      <c r="EN109" s="661"/>
      <c r="EO109" s="630"/>
      <c r="EP109" s="630"/>
      <c r="EQ109" s="662"/>
      <c r="ER109" s="661"/>
      <c r="ES109" s="630"/>
      <c r="ET109" s="630"/>
      <c r="EU109" s="662"/>
      <c r="EW109" s="661"/>
      <c r="EX109" s="630"/>
      <c r="EY109" s="630"/>
      <c r="EZ109" s="662"/>
      <c r="FA109" s="661"/>
      <c r="FB109" s="630"/>
      <c r="FC109" s="630"/>
      <c r="FD109" s="662"/>
    </row>
    <row r="110" spans="1:160">
      <c r="A110" s="753" t="s">
        <v>23</v>
      </c>
      <c r="B110" s="774">
        <v>2041</v>
      </c>
      <c r="C110" s="775">
        <f>+C109</f>
        <v>5238055.8130681738</v>
      </c>
      <c r="D110" s="775">
        <f>+D109</f>
        <v>445791.98409090913</v>
      </c>
      <c r="E110" s="775">
        <f t="shared" si="72"/>
        <v>4792263.8289772645</v>
      </c>
      <c r="F110" s="757">
        <f>+C$29*E110+D110</f>
        <v>1338399.748813743</v>
      </c>
      <c r="G110" s="775">
        <f>+G109</f>
        <v>1332168.6197727253</v>
      </c>
      <c r="H110" s="775">
        <f>+H109</f>
        <v>115840.74954545456</v>
      </c>
      <c r="I110" s="775">
        <f t="shared" si="73"/>
        <v>1216327.8702272708</v>
      </c>
      <c r="J110" s="757">
        <f>+G$29*I110+H110</f>
        <v>342394.15732086776</v>
      </c>
      <c r="K110" s="776">
        <f>+K109</f>
        <v>3283262.4322159062</v>
      </c>
      <c r="L110" s="775">
        <f>+L109</f>
        <v>305419.76113636367</v>
      </c>
      <c r="M110" s="775">
        <f t="shared" si="74"/>
        <v>2977842.6710795425</v>
      </c>
      <c r="N110" s="757">
        <f>+K$29*M110+L110</f>
        <v>860073.17446812661</v>
      </c>
      <c r="O110" s="776">
        <f>+O109</f>
        <v>1531226.0833333295</v>
      </c>
      <c r="P110" s="775">
        <f>+P109</f>
        <v>119316.31818181818</v>
      </c>
      <c r="Q110" s="775">
        <f t="shared" si="11"/>
        <v>1411909.7651515114</v>
      </c>
      <c r="R110" s="757">
        <f>+O$29*Q110+P110</f>
        <v>382298.83843492233</v>
      </c>
      <c r="S110" s="661">
        <f>+S109</f>
        <v>651192.04424242105</v>
      </c>
      <c r="T110" s="630">
        <f>+T109</f>
        <v>58315.705454545445</v>
      </c>
      <c r="U110" s="630">
        <f t="shared" si="12"/>
        <v>592876.3387878756</v>
      </c>
      <c r="V110" s="662">
        <f>+S$29*U110+T110</f>
        <v>168744.93940501497</v>
      </c>
      <c r="W110" s="661">
        <f>+W109</f>
        <v>8897268.0416666754</v>
      </c>
      <c r="X110" s="630">
        <f>+X109</f>
        <v>693293.61363636365</v>
      </c>
      <c r="Y110" s="630">
        <f t="shared" si="13"/>
        <v>8203974.4280303121</v>
      </c>
      <c r="Z110" s="662">
        <f>+W$29*Y110+X110</f>
        <v>2221367.095686337</v>
      </c>
      <c r="AA110" s="661">
        <f>+AA109</f>
        <v>5823263.399621211</v>
      </c>
      <c r="AB110" s="630">
        <f>+AB109</f>
        <v>450833.29545454547</v>
      </c>
      <c r="AC110" s="630">
        <f t="shared" si="14"/>
        <v>5372430.1041666651</v>
      </c>
      <c r="AD110" s="662">
        <f>+AA$29*AC110+AB110</f>
        <v>1451502.9158150107</v>
      </c>
      <c r="AE110" s="661">
        <f>+AE109</f>
        <v>57473.579545454631</v>
      </c>
      <c r="AF110" s="630">
        <f>+AF109</f>
        <v>4597.886363636364</v>
      </c>
      <c r="AG110" s="630">
        <f t="shared" si="15"/>
        <v>52875.693181818264</v>
      </c>
      <c r="AH110" s="662">
        <f>+AE$29*AG110+AF110</f>
        <v>14446.520742613311</v>
      </c>
      <c r="AI110" s="661">
        <f>+AI109</f>
        <v>4088406.1401515193</v>
      </c>
      <c r="AJ110" s="630">
        <f>+AJ109</f>
        <v>295547.43181818182</v>
      </c>
      <c r="AK110" s="630">
        <f t="shared" si="19"/>
        <v>3792858.7083333377</v>
      </c>
      <c r="AL110" s="662">
        <f>+AI$29*AK110+AJ110</f>
        <v>1002005.8519668647</v>
      </c>
      <c r="AM110" s="661">
        <f>+AM109</f>
        <v>1496703.361704546</v>
      </c>
      <c r="AN110" s="630">
        <f>+AN109</f>
        <v>110866.91568181818</v>
      </c>
      <c r="AO110" s="630">
        <f t="shared" si="16"/>
        <v>1385836.4460227278</v>
      </c>
      <c r="AP110" s="662">
        <f>+AM$29*AO110+AN110</f>
        <v>368993.01568407496</v>
      </c>
      <c r="AQ110" s="661">
        <f>+AQ109</f>
        <v>12442818.262499997</v>
      </c>
      <c r="AR110" s="630">
        <f>+AR109</f>
        <v>904932.23727272719</v>
      </c>
      <c r="AS110" s="630">
        <f t="shared" si="17"/>
        <v>11537886.025227271</v>
      </c>
      <c r="AT110" s="662">
        <f>+AQ$29*AS110+AR110</f>
        <v>3053980.583136199</v>
      </c>
      <c r="AU110" s="775"/>
      <c r="AV110" s="775"/>
      <c r="AW110" s="775"/>
      <c r="AX110" s="757"/>
      <c r="AY110" s="775"/>
      <c r="AZ110" s="775"/>
      <c r="BA110" s="775"/>
      <c r="BB110" s="757"/>
      <c r="BC110" s="775"/>
      <c r="BD110" s="775"/>
      <c r="BE110" s="775"/>
      <c r="BF110" s="757"/>
      <c r="BG110" s="775"/>
      <c r="BH110" s="775"/>
      <c r="BI110" s="775"/>
      <c r="BJ110" s="757"/>
      <c r="BK110" s="775"/>
      <c r="BL110" s="775"/>
      <c r="BM110" s="775"/>
      <c r="BN110" s="757"/>
      <c r="BO110" s="775"/>
      <c r="BP110" s="775"/>
      <c r="BQ110" s="775"/>
      <c r="BR110" s="757"/>
      <c r="BS110" s="661">
        <f>+BS109</f>
        <v>116352.40909090938</v>
      </c>
      <c r="BT110" s="630">
        <f>+BT109</f>
        <v>8310.886363636364</v>
      </c>
      <c r="BU110" s="630">
        <f t="shared" si="18"/>
        <v>108041.52272727301</v>
      </c>
      <c r="BV110" s="662">
        <f>+BS$29*BU110+BT110</f>
        <v>28434.716257080225</v>
      </c>
      <c r="BW110" s="661">
        <f>+BW109</f>
        <v>8219987.488636381</v>
      </c>
      <c r="BX110" s="630">
        <f>+BX109</f>
        <v>576841.22727272729</v>
      </c>
      <c r="BY110" s="630">
        <f t="shared" si="20"/>
        <v>7643146.2613636535</v>
      </c>
      <c r="BZ110" s="662">
        <f>+BW$29*BY110+BX110</f>
        <v>1939664.1369750309</v>
      </c>
      <c r="CA110" s="661">
        <f>+CA109</f>
        <v>775683.3600000015</v>
      </c>
      <c r="CB110" s="630">
        <f>+CB109</f>
        <v>54433.919999999998</v>
      </c>
      <c r="CC110" s="630">
        <f t="shared" si="21"/>
        <v>721249.44000000146</v>
      </c>
      <c r="CD110" s="662">
        <f>+CA$29*CC110+CB110</f>
        <v>188773.94663901569</v>
      </c>
      <c r="CE110" s="661">
        <f>+CE109</f>
        <v>67331.664545454754</v>
      </c>
      <c r="CF110" s="630">
        <f>+CF109</f>
        <v>4725.0290909090909</v>
      </c>
      <c r="CG110" s="630">
        <f t="shared" si="22"/>
        <v>62606.635454545663</v>
      </c>
      <c r="CH110" s="662">
        <f>+CE$29*CG110+CF110</f>
        <v>16386.150206986204</v>
      </c>
      <c r="CI110" s="661">
        <f>+CI109</f>
        <v>188531.59090909053</v>
      </c>
      <c r="CJ110" s="630">
        <f>+CJ109</f>
        <v>12362.727272727272</v>
      </c>
      <c r="CK110" s="630">
        <f t="shared" si="24"/>
        <v>176168.86363636327</v>
      </c>
      <c r="CL110" s="662">
        <f>+CI$29*CK110+CJ110</f>
        <v>43774.786538622022</v>
      </c>
      <c r="CM110" s="661">
        <f>+CM109</f>
        <v>9311064.2406250089</v>
      </c>
      <c r="CN110" s="630">
        <f>+CN109</f>
        <v>483691.64886363636</v>
      </c>
      <c r="CO110" s="630">
        <f t="shared" si="35"/>
        <v>8827372.591761373</v>
      </c>
      <c r="CP110" s="662">
        <f>+CM$29*CO110+CN110</f>
        <v>2057669.8496136819</v>
      </c>
      <c r="CQ110" s="661">
        <f>+CQ109</f>
        <v>39850285.295284092</v>
      </c>
      <c r="CR110" s="630">
        <f>+CR109</f>
        <v>2017735.9643181816</v>
      </c>
      <c r="CS110" s="630">
        <f t="shared" si="40"/>
        <v>37832549.330965914</v>
      </c>
      <c r="CT110" s="662">
        <f>+CQ$29*CS110+CR110</f>
        <v>8763526.6632762291</v>
      </c>
      <c r="CU110" s="661">
        <f>+CU109</f>
        <v>13523907.450000023</v>
      </c>
      <c r="CV110" s="630">
        <f>+CV109</f>
        <v>676195.37250000006</v>
      </c>
      <c r="CW110" s="630">
        <f t="shared" si="41"/>
        <v>12847712.077500023</v>
      </c>
      <c r="CX110" s="662">
        <f>+CU$29*CW110+CV110</f>
        <v>2967026.367712711</v>
      </c>
      <c r="CY110" s="782">
        <f t="shared" si="25"/>
        <v>13421240.578090509</v>
      </c>
      <c r="CZ110" s="779">
        <f>+CY110</f>
        <v>13421240.578090509</v>
      </c>
      <c r="DA110" s="752"/>
      <c r="DD110" s="661"/>
      <c r="DE110" s="630"/>
      <c r="DF110" s="630"/>
      <c r="DG110" s="662"/>
      <c r="DH110" s="661"/>
      <c r="DI110" s="630"/>
      <c r="DJ110" s="630"/>
      <c r="DK110" s="662"/>
      <c r="DL110" s="661"/>
      <c r="DM110" s="630"/>
      <c r="DN110" s="630"/>
      <c r="DO110" s="662"/>
      <c r="DP110" s="661"/>
      <c r="DQ110" s="630"/>
      <c r="DR110" s="630"/>
      <c r="DS110" s="662"/>
      <c r="DT110" s="661"/>
      <c r="DU110" s="630"/>
      <c r="DV110" s="630"/>
      <c r="DW110" s="662"/>
      <c r="DX110" s="661"/>
      <c r="DY110" s="630"/>
      <c r="DZ110" s="630"/>
      <c r="EA110" s="662"/>
      <c r="EB110" s="661"/>
      <c r="EC110" s="630"/>
      <c r="ED110" s="630"/>
      <c r="EE110" s="662"/>
      <c r="EF110" s="661"/>
      <c r="EG110" s="630"/>
      <c r="EH110" s="630"/>
      <c r="EI110" s="662"/>
      <c r="EJ110" s="661"/>
      <c r="EK110" s="630"/>
      <c r="EL110" s="630"/>
      <c r="EM110" s="662"/>
      <c r="EN110" s="661"/>
      <c r="EO110" s="630"/>
      <c r="EP110" s="630"/>
      <c r="EQ110" s="662"/>
      <c r="ER110" s="661"/>
      <c r="ES110" s="630"/>
      <c r="ET110" s="630"/>
      <c r="EU110" s="662"/>
      <c r="EW110" s="661"/>
      <c r="EX110" s="630"/>
      <c r="EY110" s="630"/>
      <c r="EZ110" s="662"/>
      <c r="FA110" s="661"/>
      <c r="FB110" s="630"/>
      <c r="FC110" s="630"/>
      <c r="FD110" s="662"/>
    </row>
    <row r="111" spans="1:160">
      <c r="A111" s="753" t="s">
        <v>24</v>
      </c>
      <c r="B111" s="774">
        <v>2042</v>
      </c>
      <c r="C111" s="775">
        <f>+E110</f>
        <v>4792263.8289772645</v>
      </c>
      <c r="D111" s="775">
        <f>+C$31</f>
        <v>445791.98409090913</v>
      </c>
      <c r="E111" s="775">
        <f t="shared" si="72"/>
        <v>4346471.8448863551</v>
      </c>
      <c r="F111" s="757">
        <f>+C$28*E111+D111</f>
        <v>1220796.3087537116</v>
      </c>
      <c r="G111" s="775">
        <f>+I110</f>
        <v>1216327.8702272708</v>
      </c>
      <c r="H111" s="775">
        <f>+G$31</f>
        <v>115840.74954545456</v>
      </c>
      <c r="I111" s="775">
        <f t="shared" si="73"/>
        <v>1100487.1206818162</v>
      </c>
      <c r="J111" s="757">
        <f>+G$28*I111+H111</f>
        <v>312064.79244764039</v>
      </c>
      <c r="K111" s="776">
        <f>+M110</f>
        <v>2977842.6710795425</v>
      </c>
      <c r="L111" s="775">
        <f>+K$31</f>
        <v>305419.76113636367</v>
      </c>
      <c r="M111" s="775">
        <f t="shared" si="74"/>
        <v>2672422.9099431788</v>
      </c>
      <c r="N111" s="757">
        <f>+K$28*M111+L111</f>
        <v>781930.22443790792</v>
      </c>
      <c r="O111" s="776">
        <f>+Q110</f>
        <v>1411909.7651515114</v>
      </c>
      <c r="P111" s="775">
        <f>+O$31</f>
        <v>119316.31818181818</v>
      </c>
      <c r="Q111" s="775">
        <f t="shared" ref="Q111:Q132" si="75">+O111-P111</f>
        <v>1292593.4469696933</v>
      </c>
      <c r="R111" s="757">
        <f>+O$28*Q111+P111</f>
        <v>349794.17405724345</v>
      </c>
      <c r="S111" s="661">
        <f>+U110</f>
        <v>592876.3387878756</v>
      </c>
      <c r="T111" s="630">
        <f>+S$31</f>
        <v>58315.705454545445</v>
      </c>
      <c r="U111" s="630">
        <f t="shared" ref="U111:U132" si="76">+S111-T111</f>
        <v>534560.63333333016</v>
      </c>
      <c r="V111" s="662">
        <f>+S$28*U111+T111</f>
        <v>153631.35856644309</v>
      </c>
      <c r="W111" s="661">
        <f>+Y110</f>
        <v>8203974.4280303121</v>
      </c>
      <c r="X111" s="630">
        <f>+W$31</f>
        <v>693293.61363636365</v>
      </c>
      <c r="Y111" s="630">
        <f t="shared" ref="Y111:Y132" si="77">+W111-X111</f>
        <v>7510680.8143939488</v>
      </c>
      <c r="Z111" s="662">
        <f>+W$28*Y111+X111</f>
        <v>2032497.0687710061</v>
      </c>
      <c r="AA111" s="661">
        <f>+AC110</f>
        <v>5372430.1041666651</v>
      </c>
      <c r="AB111" s="630">
        <f>+AA$31</f>
        <v>450833.29545454547</v>
      </c>
      <c r="AC111" s="630">
        <f t="shared" ref="AC111:AC132" si="78">+AA111-AB111</f>
        <v>4921596.8087121192</v>
      </c>
      <c r="AD111" s="662">
        <f>+AA$28*AC111+AB111</f>
        <v>1328386.158355529</v>
      </c>
      <c r="AE111" s="661">
        <f>+AG110</f>
        <v>52875.693181818264</v>
      </c>
      <c r="AF111" s="630">
        <f>+AE$31</f>
        <v>4597.886363636364</v>
      </c>
      <c r="AG111" s="630">
        <f t="shared" ref="AG111:AG132" si="79">+AE111-AF111</f>
        <v>48277.806818181896</v>
      </c>
      <c r="AH111" s="662">
        <f>+AE$28*AG111+AF111</f>
        <v>13206.134709555325</v>
      </c>
      <c r="AI111" s="661">
        <f>+AK110</f>
        <v>3792858.7083333377</v>
      </c>
      <c r="AJ111" s="630">
        <f>+AI$31</f>
        <v>295547.43181818182</v>
      </c>
      <c r="AK111" s="630">
        <f t="shared" si="19"/>
        <v>3497311.276515156</v>
      </c>
      <c r="AL111" s="662">
        <f>+AI$28*AK111+AJ111</f>
        <v>919140.87972698803</v>
      </c>
      <c r="AM111" s="661">
        <f>+AO110</f>
        <v>1385836.4460227278</v>
      </c>
      <c r="AN111" s="630">
        <f>+AM$31</f>
        <v>110866.91568181818</v>
      </c>
      <c r="AO111" s="630">
        <f t="shared" ref="AO111:AO132" si="80">+AM111-AN111</f>
        <v>1274969.5303409095</v>
      </c>
      <c r="AP111" s="662">
        <f>+AM$28*AO111+AN111</f>
        <v>338202.31208845077</v>
      </c>
      <c r="AQ111" s="661">
        <f>+AS110</f>
        <v>11537886.025227271</v>
      </c>
      <c r="AR111" s="630">
        <f>+AQ$31</f>
        <v>904932.23727272719</v>
      </c>
      <c r="AS111" s="630">
        <f t="shared" ref="AS111:AS132" si="81">+AQ111-AR111</f>
        <v>10632953.787954545</v>
      </c>
      <c r="AT111" s="662">
        <f>+AQ$28*AS111+AR111</f>
        <v>2800857.3608415332</v>
      </c>
      <c r="AU111" s="775"/>
      <c r="AV111" s="775"/>
      <c r="AW111" s="775"/>
      <c r="AX111" s="757"/>
      <c r="AY111" s="775"/>
      <c r="AZ111" s="775"/>
      <c r="BA111" s="775"/>
      <c r="BB111" s="757"/>
      <c r="BC111" s="775"/>
      <c r="BD111" s="775"/>
      <c r="BE111" s="775"/>
      <c r="BF111" s="757"/>
      <c r="BG111" s="775"/>
      <c r="BH111" s="775"/>
      <c r="BI111" s="775"/>
      <c r="BJ111" s="757"/>
      <c r="BK111" s="775"/>
      <c r="BL111" s="775"/>
      <c r="BM111" s="775"/>
      <c r="BN111" s="757"/>
      <c r="BO111" s="775"/>
      <c r="BP111" s="775"/>
      <c r="BQ111" s="775"/>
      <c r="BR111" s="757"/>
      <c r="BS111" s="661">
        <f>+BU110</f>
        <v>108041.52272727301</v>
      </c>
      <c r="BT111" s="630">
        <f>+BS$31</f>
        <v>8310.886363636364</v>
      </c>
      <c r="BU111" s="630">
        <f t="shared" ref="BU111:BU132" si="82">+BS111-BT111</f>
        <v>99730.636363636644</v>
      </c>
      <c r="BV111" s="662">
        <f>+BS$28*BU111+BT111</f>
        <v>26093.510349600008</v>
      </c>
      <c r="BW111" s="661">
        <f>+BY110</f>
        <v>7643146.2613636535</v>
      </c>
      <c r="BX111" s="630">
        <f>+BW$31</f>
        <v>576841.22727272729</v>
      </c>
      <c r="BY111" s="630">
        <f t="shared" si="20"/>
        <v>7066305.0340909259</v>
      </c>
      <c r="BZ111" s="662">
        <f>+BW$28*BY111+BX111</f>
        <v>1836809.5777522158</v>
      </c>
      <c r="CA111" s="661">
        <f>+CC110</f>
        <v>721249.44000000146</v>
      </c>
      <c r="CB111" s="630">
        <f>+CA$31</f>
        <v>54433.919999999998</v>
      </c>
      <c r="CC111" s="630">
        <f t="shared" si="21"/>
        <v>666815.52000000142</v>
      </c>
      <c r="CD111" s="662">
        <f>+CA$28*CC111+CB111</f>
        <v>173331.48340197545</v>
      </c>
      <c r="CE111" s="661">
        <f>+CG110</f>
        <v>62606.635454545663</v>
      </c>
      <c r="CF111" s="630">
        <f>+CE$31</f>
        <v>4725.0290909090909</v>
      </c>
      <c r="CG111" s="630">
        <f t="shared" si="22"/>
        <v>57881.606363636572</v>
      </c>
      <c r="CH111" s="662">
        <f>+CE$28*CG111+CF111</f>
        <v>15045.697635679389</v>
      </c>
      <c r="CI111" s="661">
        <f>+CK110</f>
        <v>176168.86363636327</v>
      </c>
      <c r="CJ111" s="630">
        <f>+CI$31</f>
        <v>12362.727272727272</v>
      </c>
      <c r="CK111" s="630">
        <f t="shared" si="24"/>
        <v>163806.136363636</v>
      </c>
      <c r="CL111" s="662">
        <f>+CI$28*CK111+CJ111</f>
        <v>41570.431502418876</v>
      </c>
      <c r="CM111" s="661">
        <f>+CO110</f>
        <v>8827372.591761373</v>
      </c>
      <c r="CN111" s="630">
        <f>+CM$31</f>
        <v>483691.64886363636</v>
      </c>
      <c r="CO111" s="630">
        <f t="shared" si="35"/>
        <v>8343680.942897737</v>
      </c>
      <c r="CP111" s="662">
        <f>+CM$28*CO111+CN111</f>
        <v>1971424.4687506659</v>
      </c>
      <c r="CQ111" s="661">
        <f>+CS110</f>
        <v>37832549.330965914</v>
      </c>
      <c r="CR111" s="630">
        <f>+CQ$31</f>
        <v>2017735.9643181816</v>
      </c>
      <c r="CS111" s="630">
        <f t="shared" si="40"/>
        <v>35814813.366647735</v>
      </c>
      <c r="CT111" s="662">
        <f>+CQ$28*CS111+CR111</f>
        <v>8403751.1593318004</v>
      </c>
      <c r="CU111" s="661">
        <f>+CW110</f>
        <v>12847712.077500023</v>
      </c>
      <c r="CV111" s="630">
        <f>+CU$31</f>
        <v>676195.37250000006</v>
      </c>
      <c r="CW111" s="630">
        <f t="shared" si="41"/>
        <v>12171516.705000022</v>
      </c>
      <c r="CX111" s="662">
        <f>+CU$28*CW111+CV111</f>
        <v>2846456.3153330949</v>
      </c>
      <c r="CY111" s="782">
        <f t="shared" si="25"/>
        <v>12343357.473397898</v>
      </c>
      <c r="CZ111" s="756"/>
      <c r="DA111" s="778">
        <f>+CY111</f>
        <v>12343357.473397898</v>
      </c>
      <c r="DD111" s="661"/>
      <c r="DE111" s="630"/>
      <c r="DF111" s="630"/>
      <c r="DG111" s="662"/>
      <c r="DH111" s="661"/>
      <c r="DI111" s="630"/>
      <c r="DJ111" s="630"/>
      <c r="DK111" s="662"/>
      <c r="DL111" s="661"/>
      <c r="DM111" s="630"/>
      <c r="DN111" s="630"/>
      <c r="DO111" s="662"/>
      <c r="DP111" s="661"/>
      <c r="DQ111" s="630"/>
      <c r="DR111" s="630"/>
      <c r="DS111" s="662"/>
      <c r="DT111" s="661"/>
      <c r="DU111" s="630"/>
      <c r="DV111" s="630"/>
      <c r="DW111" s="662"/>
      <c r="DX111" s="661"/>
      <c r="DY111" s="630"/>
      <c r="DZ111" s="630"/>
      <c r="EA111" s="662"/>
      <c r="EB111" s="661"/>
      <c r="EC111" s="630"/>
      <c r="ED111" s="630"/>
      <c r="EE111" s="662"/>
      <c r="EF111" s="661"/>
      <c r="EG111" s="630"/>
      <c r="EH111" s="630"/>
      <c r="EI111" s="662"/>
      <c r="EJ111" s="661"/>
      <c r="EK111" s="630"/>
      <c r="EL111" s="630"/>
      <c r="EM111" s="662"/>
      <c r="EN111" s="661"/>
      <c r="EO111" s="630"/>
      <c r="EP111" s="630"/>
      <c r="EQ111" s="662"/>
      <c r="ER111" s="661"/>
      <c r="ES111" s="630"/>
      <c r="ET111" s="630"/>
      <c r="EU111" s="662"/>
      <c r="EW111" s="661"/>
      <c r="EX111" s="630"/>
      <c r="EY111" s="630"/>
      <c r="EZ111" s="662"/>
      <c r="FA111" s="661"/>
      <c r="FB111" s="630"/>
      <c r="FC111" s="630"/>
      <c r="FD111" s="662"/>
    </row>
    <row r="112" spans="1:160">
      <c r="A112" s="753" t="s">
        <v>23</v>
      </c>
      <c r="B112" s="774">
        <v>2042</v>
      </c>
      <c r="C112" s="775">
        <f>+C111</f>
        <v>4792263.8289772645</v>
      </c>
      <c r="D112" s="775">
        <f>+D111</f>
        <v>445791.98409090913</v>
      </c>
      <c r="E112" s="775">
        <f t="shared" si="72"/>
        <v>4346471.8448863551</v>
      </c>
      <c r="F112" s="757">
        <f>+C$29*E112+D112</f>
        <v>1255366.4683744095</v>
      </c>
      <c r="G112" s="775">
        <f>+G111</f>
        <v>1216327.8702272708</v>
      </c>
      <c r="H112" s="775">
        <f>+H111</f>
        <v>115840.74954545456</v>
      </c>
      <c r="I112" s="775">
        <f t="shared" si="73"/>
        <v>1100487.1206818162</v>
      </c>
      <c r="J112" s="757">
        <f>+G$29*I112+H112</f>
        <v>320817.64229463792</v>
      </c>
      <c r="K112" s="776">
        <f>+K111</f>
        <v>2977842.6710795425</v>
      </c>
      <c r="L112" s="775">
        <f>+L111</f>
        <v>305419.76113636367</v>
      </c>
      <c r="M112" s="775">
        <f t="shared" si="74"/>
        <v>2672422.9099431788</v>
      </c>
      <c r="N112" s="757">
        <f>+K$29*M112+L112</f>
        <v>803185.64489563799</v>
      </c>
      <c r="O112" s="776">
        <f>+O111</f>
        <v>1411909.7651515114</v>
      </c>
      <c r="P112" s="775">
        <f>+P111</f>
        <v>119316.31818181818</v>
      </c>
      <c r="Q112" s="775">
        <f t="shared" si="75"/>
        <v>1292593.4469696933</v>
      </c>
      <c r="R112" s="757">
        <f>+O$29*Q112+P112</f>
        <v>360074.96348395571</v>
      </c>
      <c r="S112" s="661">
        <f>+S111</f>
        <v>592876.3387878756</v>
      </c>
      <c r="T112" s="630">
        <f>+T111</f>
        <v>58315.705454545445</v>
      </c>
      <c r="U112" s="630">
        <f t="shared" si="76"/>
        <v>534560.63333333016</v>
      </c>
      <c r="V112" s="662">
        <f>+S$29*U112+T112</f>
        <v>157883.04754103429</v>
      </c>
      <c r="W112" s="661">
        <f>+W111</f>
        <v>8203974.4280303121</v>
      </c>
      <c r="X112" s="630">
        <f>+X111</f>
        <v>693293.61363636365</v>
      </c>
      <c r="Y112" s="630">
        <f t="shared" si="77"/>
        <v>7510680.8143939488</v>
      </c>
      <c r="Z112" s="662">
        <f>+W$29*Y112+X112</f>
        <v>2092234.1253722548</v>
      </c>
      <c r="AA112" s="661">
        <f>+AA111</f>
        <v>5372430.1041666651</v>
      </c>
      <c r="AB112" s="630">
        <f>+AB111</f>
        <v>450833.29545454547</v>
      </c>
      <c r="AC112" s="630">
        <f t="shared" si="78"/>
        <v>4921596.8087121192</v>
      </c>
      <c r="AD112" s="662">
        <f>+AA$29*AC112+AB112</f>
        <v>1367530.639980566</v>
      </c>
      <c r="AE112" s="661">
        <f>+AE111</f>
        <v>52875.693181818264</v>
      </c>
      <c r="AF112" s="630">
        <f>+AF111</f>
        <v>4597.886363636364</v>
      </c>
      <c r="AG112" s="630">
        <f t="shared" si="79"/>
        <v>48277.806818181896</v>
      </c>
      <c r="AH112" s="662">
        <f>+AE$29*AG112+AF112</f>
        <v>13590.117753137056</v>
      </c>
      <c r="AI112" s="661">
        <f>+AI111</f>
        <v>3792858.7083333377</v>
      </c>
      <c r="AJ112" s="630">
        <f>+AJ111</f>
        <v>295547.43181818182</v>
      </c>
      <c r="AK112" s="630">
        <f t="shared" ref="AK112:AK132" si="83">+AI112-AJ112</f>
        <v>3497311.276515156</v>
      </c>
      <c r="AL112" s="662">
        <f>+AI$29*AK112+AJ112</f>
        <v>946957.1439033309</v>
      </c>
      <c r="AM112" s="661">
        <f>+AM111</f>
        <v>1385836.4460227278</v>
      </c>
      <c r="AN112" s="630">
        <f>+AN111</f>
        <v>110866.91568181818</v>
      </c>
      <c r="AO112" s="630">
        <f t="shared" si="80"/>
        <v>1274969.5303409095</v>
      </c>
      <c r="AP112" s="662">
        <f>+AM$29*AO112+AN112</f>
        <v>348342.92768389441</v>
      </c>
      <c r="AQ112" s="661">
        <f>+AQ111</f>
        <v>11537886.025227271</v>
      </c>
      <c r="AR112" s="630">
        <f>+AR111</f>
        <v>904932.23727272719</v>
      </c>
      <c r="AS112" s="630">
        <f t="shared" si="81"/>
        <v>10632953.787954545</v>
      </c>
      <c r="AT112" s="662">
        <f>+AQ$29*AS112+AR112</f>
        <v>2885427.7716959268</v>
      </c>
      <c r="AU112" s="775"/>
      <c r="AV112" s="775"/>
      <c r="AW112" s="775"/>
      <c r="AX112" s="757"/>
      <c r="AY112" s="775"/>
      <c r="AZ112" s="775"/>
      <c r="BA112" s="775"/>
      <c r="BB112" s="757"/>
      <c r="BC112" s="775"/>
      <c r="BD112" s="775"/>
      <c r="BE112" s="775"/>
      <c r="BF112" s="757"/>
      <c r="BG112" s="775"/>
      <c r="BH112" s="775"/>
      <c r="BI112" s="775"/>
      <c r="BJ112" s="757"/>
      <c r="BK112" s="775"/>
      <c r="BL112" s="775"/>
      <c r="BM112" s="775"/>
      <c r="BN112" s="757"/>
      <c r="BO112" s="775"/>
      <c r="BP112" s="775"/>
      <c r="BQ112" s="775"/>
      <c r="BR112" s="757"/>
      <c r="BS112" s="661">
        <f>+BS111</f>
        <v>108041.52272727301</v>
      </c>
      <c r="BT112" s="630">
        <f>+BT111</f>
        <v>8310.886363636364</v>
      </c>
      <c r="BU112" s="630">
        <f t="shared" si="82"/>
        <v>99730.636363636644</v>
      </c>
      <c r="BV112" s="662">
        <f>+BS$29*BU112+BT112</f>
        <v>26886.729342199931</v>
      </c>
      <c r="BW112" s="661">
        <f>+BW111</f>
        <v>7643146.2613636535</v>
      </c>
      <c r="BX112" s="630">
        <f>+BX111</f>
        <v>576841.22727272729</v>
      </c>
      <c r="BY112" s="630">
        <f t="shared" si="20"/>
        <v>7066305.0340909259</v>
      </c>
      <c r="BZ112" s="662">
        <f>+BW$29*BY112+BX112</f>
        <v>1836809.5777522158</v>
      </c>
      <c r="CA112" s="661">
        <f>+CA111</f>
        <v>721249.44000000146</v>
      </c>
      <c r="CB112" s="630">
        <f>+CB111</f>
        <v>54433.919999999998</v>
      </c>
      <c r="CC112" s="630">
        <f t="shared" si="21"/>
        <v>666815.52000000142</v>
      </c>
      <c r="CD112" s="662">
        <f>+CA$29*CC112+CB112</f>
        <v>178635.07670399564</v>
      </c>
      <c r="CE112" s="661">
        <f>+CE111</f>
        <v>62606.635454545663</v>
      </c>
      <c r="CF112" s="630">
        <f>+CF111</f>
        <v>4725.0290909090909</v>
      </c>
      <c r="CG112" s="630">
        <f t="shared" si="22"/>
        <v>57881.606363636572</v>
      </c>
      <c r="CH112" s="662">
        <f>+CE$29*CG112+CF112</f>
        <v>15506.065594452082</v>
      </c>
      <c r="CI112" s="661">
        <f>+CI111</f>
        <v>176168.86363636327</v>
      </c>
      <c r="CJ112" s="630">
        <f>+CJ111</f>
        <v>12362.727272727272</v>
      </c>
      <c r="CK112" s="630">
        <f t="shared" si="24"/>
        <v>163806.136363636</v>
      </c>
      <c r="CL112" s="662">
        <f>+CI$29*CK112+CJ112</f>
        <v>41570.431502418876</v>
      </c>
      <c r="CM112" s="661">
        <f>+CM111</f>
        <v>8827372.591761373</v>
      </c>
      <c r="CN112" s="630">
        <f>+CN111</f>
        <v>483691.64886363636</v>
      </c>
      <c r="CO112" s="630">
        <f t="shared" si="35"/>
        <v>8343680.942897737</v>
      </c>
      <c r="CP112" s="662">
        <f>+CM$29*CO112+CN112</f>
        <v>1971424.4687506659</v>
      </c>
      <c r="CQ112" s="661">
        <f>+CQ111</f>
        <v>37832549.330965914</v>
      </c>
      <c r="CR112" s="630">
        <f>+CR111</f>
        <v>2017735.9643181816</v>
      </c>
      <c r="CS112" s="630">
        <f t="shared" si="40"/>
        <v>35814813.366647735</v>
      </c>
      <c r="CT112" s="662">
        <f>+CQ$29*CS112+CR112</f>
        <v>8403751.1593318004</v>
      </c>
      <c r="CU112" s="661">
        <f>+CU111</f>
        <v>12847712.077500023</v>
      </c>
      <c r="CV112" s="630">
        <f>+CV111</f>
        <v>676195.37250000006</v>
      </c>
      <c r="CW112" s="630">
        <f t="shared" si="41"/>
        <v>12171516.705000022</v>
      </c>
      <c r="CX112" s="662">
        <f>+CU$29*CW112+CV112</f>
        <v>2846456.3153330949</v>
      </c>
      <c r="CY112" s="782">
        <f t="shared" si="25"/>
        <v>12650818.373874066</v>
      </c>
      <c r="CZ112" s="779">
        <f>+CY112</f>
        <v>12650818.373874066</v>
      </c>
      <c r="DA112" s="752"/>
      <c r="DD112" s="661"/>
      <c r="DE112" s="630"/>
      <c r="DF112" s="630"/>
      <c r="DG112" s="662"/>
      <c r="DH112" s="661"/>
      <c r="DI112" s="630"/>
      <c r="DJ112" s="630"/>
      <c r="DK112" s="662"/>
      <c r="DL112" s="661"/>
      <c r="DM112" s="630"/>
      <c r="DN112" s="630"/>
      <c r="DO112" s="662"/>
      <c r="DP112" s="661"/>
      <c r="DQ112" s="630"/>
      <c r="DR112" s="630"/>
      <c r="DS112" s="662"/>
      <c r="DT112" s="661"/>
      <c r="DU112" s="630"/>
      <c r="DV112" s="630"/>
      <c r="DW112" s="662"/>
      <c r="DX112" s="661"/>
      <c r="DY112" s="630"/>
      <c r="DZ112" s="630"/>
      <c r="EA112" s="662"/>
      <c r="EB112" s="661"/>
      <c r="EC112" s="630"/>
      <c r="ED112" s="630"/>
      <c r="EE112" s="662"/>
      <c r="EF112" s="661"/>
      <c r="EG112" s="630"/>
      <c r="EH112" s="630"/>
      <c r="EI112" s="662"/>
      <c r="EJ112" s="661"/>
      <c r="EK112" s="630"/>
      <c r="EL112" s="630"/>
      <c r="EM112" s="662"/>
      <c r="EN112" s="661"/>
      <c r="EO112" s="630"/>
      <c r="EP112" s="630"/>
      <c r="EQ112" s="662"/>
      <c r="ER112" s="661"/>
      <c r="ES112" s="630"/>
      <c r="ET112" s="630"/>
      <c r="EU112" s="662"/>
      <c r="EW112" s="661"/>
      <c r="EX112" s="630"/>
      <c r="EY112" s="630"/>
      <c r="EZ112" s="662"/>
      <c r="FA112" s="661"/>
      <c r="FB112" s="630"/>
      <c r="FC112" s="630"/>
      <c r="FD112" s="662"/>
    </row>
    <row r="113" spans="1:160">
      <c r="A113" s="753" t="s">
        <v>24</v>
      </c>
      <c r="B113" s="774">
        <v>2043</v>
      </c>
      <c r="C113" s="775">
        <f>+E112</f>
        <v>4346471.8448863551</v>
      </c>
      <c r="D113" s="775">
        <f>+C$31</f>
        <v>445791.98409090913</v>
      </c>
      <c r="E113" s="775">
        <f t="shared" si="72"/>
        <v>3900679.8607954457</v>
      </c>
      <c r="F113" s="757">
        <f>+C$28*E113+D113</f>
        <v>1141308.6857113726</v>
      </c>
      <c r="G113" s="775">
        <f>+I112</f>
        <v>1100487.1206818162</v>
      </c>
      <c r="H113" s="775">
        <f>+G$31</f>
        <v>115840.74954545456</v>
      </c>
      <c r="I113" s="775">
        <f t="shared" si="73"/>
        <v>984646.37113636173</v>
      </c>
      <c r="J113" s="757">
        <f>+G$28*I113+H113</f>
        <v>291409.63003688399</v>
      </c>
      <c r="K113" s="776">
        <f>+M112</f>
        <v>2672422.9099431788</v>
      </c>
      <c r="L113" s="775">
        <f>+K$31</f>
        <v>305419.76113636367</v>
      </c>
      <c r="M113" s="775">
        <f t="shared" si="74"/>
        <v>2367003.148806815</v>
      </c>
      <c r="N113" s="757">
        <f>+K$28*M113+L113</f>
        <v>727471.88577487413</v>
      </c>
      <c r="O113" s="776">
        <f>+Q112</f>
        <v>1292593.4469696933</v>
      </c>
      <c r="P113" s="775">
        <f>+O$31</f>
        <v>119316.31818181818</v>
      </c>
      <c r="Q113" s="775">
        <f t="shared" si="75"/>
        <v>1173277.1287878752</v>
      </c>
      <c r="R113" s="757">
        <f>+O$28*Q113+P113</f>
        <v>328519.29505335796</v>
      </c>
      <c r="S113" s="661">
        <f>+U112</f>
        <v>534560.63333333016</v>
      </c>
      <c r="T113" s="630">
        <f>+S$31</f>
        <v>58315.705454545445</v>
      </c>
      <c r="U113" s="630">
        <f t="shared" si="76"/>
        <v>476244.92787878471</v>
      </c>
      <c r="V113" s="662">
        <f>+S$28*U113+T113</f>
        <v>143233.28731787237</v>
      </c>
      <c r="W113" s="661">
        <f>+Y112</f>
        <v>7510680.8143939488</v>
      </c>
      <c r="X113" s="630">
        <f>+W$31</f>
        <v>693293.61363636365</v>
      </c>
      <c r="Y113" s="630">
        <f t="shared" si="77"/>
        <v>6817387.2007575855</v>
      </c>
      <c r="Z113" s="662">
        <f>+W$28*Y113+X113</f>
        <v>1908878.288297039</v>
      </c>
      <c r="AA113" s="661">
        <f>+AC112</f>
        <v>4921596.8087121192</v>
      </c>
      <c r="AB113" s="630">
        <f>+AA$31</f>
        <v>450833.29545454547</v>
      </c>
      <c r="AC113" s="630">
        <f t="shared" si="78"/>
        <v>4470763.5132575734</v>
      </c>
      <c r="AD113" s="662">
        <f>+AA$28*AC113+AB113</f>
        <v>1247999.6365630722</v>
      </c>
      <c r="AE113" s="661">
        <f>+AG112</f>
        <v>48277.806818181896</v>
      </c>
      <c r="AF113" s="630">
        <f>+AE$31</f>
        <v>4597.886363636364</v>
      </c>
      <c r="AG113" s="630">
        <f t="shared" si="79"/>
        <v>43679.920454545529</v>
      </c>
      <c r="AH113" s="662">
        <f>+AE$28*AG113+AF113</f>
        <v>12386.30153375352</v>
      </c>
      <c r="AI113" s="661">
        <f>+AK112</f>
        <v>3497311.276515156</v>
      </c>
      <c r="AJ113" s="630">
        <f>+AI$31</f>
        <v>295547.43181818182</v>
      </c>
      <c r="AK113" s="630">
        <f t="shared" si="83"/>
        <v>3201763.8446969744</v>
      </c>
      <c r="AL113" s="662">
        <f>+AI$28*AK113+AJ113</f>
        <v>866442.84187553986</v>
      </c>
      <c r="AM113" s="661">
        <f>+AO112</f>
        <v>1274969.5303409095</v>
      </c>
      <c r="AN113" s="630">
        <f>+AM$31</f>
        <v>110866.91568181818</v>
      </c>
      <c r="AO113" s="630">
        <f t="shared" si="80"/>
        <v>1164102.6146590912</v>
      </c>
      <c r="AP113" s="662">
        <f>+AM$28*AO113+AN113</f>
        <v>318434.01674874354</v>
      </c>
      <c r="AQ113" s="661">
        <f>+AS112</f>
        <v>10632953.787954545</v>
      </c>
      <c r="AR113" s="630">
        <f>+AQ$31</f>
        <v>904932.23727272719</v>
      </c>
      <c r="AS113" s="630">
        <f t="shared" si="81"/>
        <v>9728021.5506818183</v>
      </c>
      <c r="AT113" s="662">
        <f>+AQ$28*AS113+AR113</f>
        <v>2639502.0311761033</v>
      </c>
      <c r="AU113" s="775"/>
      <c r="AV113" s="775"/>
      <c r="AW113" s="775"/>
      <c r="AX113" s="757"/>
      <c r="AY113" s="775"/>
      <c r="AZ113" s="775"/>
      <c r="BA113" s="775"/>
      <c r="BB113" s="757"/>
      <c r="BC113" s="775"/>
      <c r="BD113" s="775"/>
      <c r="BE113" s="775"/>
      <c r="BF113" s="757"/>
      <c r="BG113" s="775"/>
      <c r="BH113" s="775"/>
      <c r="BI113" s="775"/>
      <c r="BJ113" s="757"/>
      <c r="BK113" s="775"/>
      <c r="BL113" s="775"/>
      <c r="BM113" s="775"/>
      <c r="BN113" s="757"/>
      <c r="BO113" s="775"/>
      <c r="BP113" s="775"/>
      <c r="BQ113" s="775"/>
      <c r="BR113" s="757"/>
      <c r="BS113" s="661">
        <f>+BU112</f>
        <v>99730.636363636644</v>
      </c>
      <c r="BT113" s="630">
        <f>+BS$31</f>
        <v>8310.886363636364</v>
      </c>
      <c r="BU113" s="630">
        <f t="shared" si="82"/>
        <v>91419.750000000276</v>
      </c>
      <c r="BV113" s="662">
        <f>+BS$28*BU113+BT113</f>
        <v>24611.625017436374</v>
      </c>
      <c r="BW113" s="661">
        <f>+BY112</f>
        <v>7066305.0340909259</v>
      </c>
      <c r="BX113" s="630">
        <f>+BW$31</f>
        <v>576841.22727272729</v>
      </c>
      <c r="BY113" s="630">
        <f t="shared" si="20"/>
        <v>6489463.8068181984</v>
      </c>
      <c r="BZ113" s="662">
        <f>+BW$28*BY113+BX113</f>
        <v>1733955.0185294005</v>
      </c>
      <c r="CA113" s="661">
        <f>+CC112</f>
        <v>666815.52000000142</v>
      </c>
      <c r="CB113" s="630">
        <f>+CA$31</f>
        <v>54433.919999999998</v>
      </c>
      <c r="CC113" s="630">
        <f t="shared" si="21"/>
        <v>612381.60000000137</v>
      </c>
      <c r="CD113" s="662">
        <f>+CA$28*CC113+CB113</f>
        <v>163625.55985895707</v>
      </c>
      <c r="CE113" s="661">
        <f>+CG112</f>
        <v>57881.606363636572</v>
      </c>
      <c r="CF113" s="630">
        <f>+CE$31</f>
        <v>4725.0290909090909</v>
      </c>
      <c r="CG113" s="630">
        <f t="shared" si="22"/>
        <v>53156.577272727482</v>
      </c>
      <c r="CH113" s="662">
        <f>+CE$28*CG113+CF113</f>
        <v>14203.194081004267</v>
      </c>
      <c r="CI113" s="661">
        <f>+CK112</f>
        <v>163806.136363636</v>
      </c>
      <c r="CJ113" s="630">
        <f>+CI$31</f>
        <v>12362.727272727272</v>
      </c>
      <c r="CK113" s="630">
        <f t="shared" si="24"/>
        <v>151443.40909090874</v>
      </c>
      <c r="CL113" s="662">
        <f>+CI$28*CK113+CJ113</f>
        <v>39366.076466215731</v>
      </c>
      <c r="CM113" s="661">
        <f>+CO112</f>
        <v>8343680.942897737</v>
      </c>
      <c r="CN113" s="630">
        <f>+CM$31</f>
        <v>483691.64886363636</v>
      </c>
      <c r="CO113" s="630">
        <f t="shared" si="35"/>
        <v>7859989.2940341011</v>
      </c>
      <c r="CP113" s="662">
        <f>+CM$28*CO113+CN113</f>
        <v>1885179.0878876499</v>
      </c>
      <c r="CQ113" s="661">
        <f>+CS112</f>
        <v>35814813.366647735</v>
      </c>
      <c r="CR113" s="630">
        <f>+CQ$31</f>
        <v>2017735.9643181816</v>
      </c>
      <c r="CS113" s="630">
        <f t="shared" si="40"/>
        <v>33797077.402329557</v>
      </c>
      <c r="CT113" s="662">
        <f>+CQ$28*CS113+CR113</f>
        <v>8043975.6553873718</v>
      </c>
      <c r="CU113" s="661">
        <f>+CW112</f>
        <v>12171516.705000022</v>
      </c>
      <c r="CV113" s="630">
        <f>+CU$31</f>
        <v>676195.37250000006</v>
      </c>
      <c r="CW113" s="630">
        <f t="shared" si="41"/>
        <v>11495321.332500022</v>
      </c>
      <c r="CX113" s="662">
        <f>+CU$28*CW113+CV113</f>
        <v>2725886.2629534788</v>
      </c>
      <c r="CY113" s="782">
        <f t="shared" si="25"/>
        <v>11601347.374041626</v>
      </c>
      <c r="CZ113" s="756"/>
      <c r="DA113" s="778">
        <f>+CY113</f>
        <v>11601347.374041626</v>
      </c>
      <c r="DD113" s="661"/>
      <c r="DE113" s="630"/>
      <c r="DF113" s="630"/>
      <c r="DG113" s="662"/>
      <c r="DH113" s="661"/>
      <c r="DI113" s="630"/>
      <c r="DJ113" s="630"/>
      <c r="DK113" s="662"/>
      <c r="DL113" s="661"/>
      <c r="DM113" s="630"/>
      <c r="DN113" s="630"/>
      <c r="DO113" s="662"/>
      <c r="DP113" s="661"/>
      <c r="DQ113" s="630"/>
      <c r="DR113" s="630"/>
      <c r="DS113" s="662"/>
      <c r="DT113" s="661"/>
      <c r="DU113" s="630"/>
      <c r="DV113" s="630"/>
      <c r="DW113" s="662"/>
      <c r="DX113" s="661"/>
      <c r="DY113" s="630"/>
      <c r="DZ113" s="630"/>
      <c r="EA113" s="662"/>
      <c r="EB113" s="661"/>
      <c r="EC113" s="630"/>
      <c r="ED113" s="630"/>
      <c r="EE113" s="662"/>
      <c r="EF113" s="661"/>
      <c r="EG113" s="630"/>
      <c r="EH113" s="630"/>
      <c r="EI113" s="662"/>
      <c r="EJ113" s="661"/>
      <c r="EK113" s="630"/>
      <c r="EL113" s="630"/>
      <c r="EM113" s="662"/>
      <c r="EN113" s="661"/>
      <c r="EO113" s="630"/>
      <c r="EP113" s="630"/>
      <c r="EQ113" s="662"/>
      <c r="ER113" s="661"/>
      <c r="ES113" s="630"/>
      <c r="ET113" s="630"/>
      <c r="EU113" s="662"/>
      <c r="EW113" s="661"/>
      <c r="EX113" s="630"/>
      <c r="EY113" s="630"/>
      <c r="EZ113" s="662"/>
      <c r="FA113" s="661"/>
      <c r="FB113" s="630"/>
      <c r="FC113" s="630"/>
      <c r="FD113" s="662"/>
    </row>
    <row r="114" spans="1:160">
      <c r="A114" s="753" t="s">
        <v>23</v>
      </c>
      <c r="B114" s="774">
        <v>2043</v>
      </c>
      <c r="C114" s="775">
        <f>+C113</f>
        <v>4346471.8448863551</v>
      </c>
      <c r="D114" s="775">
        <f>+D113</f>
        <v>445791.98409090913</v>
      </c>
      <c r="E114" s="775">
        <f t="shared" si="72"/>
        <v>3900679.8607954457</v>
      </c>
      <c r="F114" s="757">
        <f>+C$29*E114+D114</f>
        <v>1172333.1879350757</v>
      </c>
      <c r="G114" s="775">
        <f>+G113</f>
        <v>1100487.1206818162</v>
      </c>
      <c r="H114" s="775">
        <f>+H113</f>
        <v>115840.74954545456</v>
      </c>
      <c r="I114" s="775">
        <f t="shared" si="73"/>
        <v>984646.37113636173</v>
      </c>
      <c r="J114" s="757">
        <f>+G$29*I114+H114</f>
        <v>299241.12726840808</v>
      </c>
      <c r="K114" s="776">
        <f>+K113</f>
        <v>2672422.9099431788</v>
      </c>
      <c r="L114" s="775">
        <f>+L113</f>
        <v>305419.76113636367</v>
      </c>
      <c r="M114" s="775">
        <f t="shared" si="74"/>
        <v>2367003.148806815</v>
      </c>
      <c r="N114" s="757">
        <f>+K$29*M114+L114</f>
        <v>746298.11532314937</v>
      </c>
      <c r="O114" s="776">
        <f>+O113</f>
        <v>1292593.4469696933</v>
      </c>
      <c r="P114" s="775">
        <f>+P113</f>
        <v>119316.31818181818</v>
      </c>
      <c r="Q114" s="775">
        <f t="shared" si="75"/>
        <v>1173277.1287878752</v>
      </c>
      <c r="R114" s="757">
        <f>+O$29*Q114+P114</f>
        <v>337851.08853298915</v>
      </c>
      <c r="S114" s="661">
        <f>+S113</f>
        <v>534560.63333333016</v>
      </c>
      <c r="T114" s="630">
        <f>+T113</f>
        <v>58315.705454545445</v>
      </c>
      <c r="U114" s="630">
        <f t="shared" si="76"/>
        <v>476244.92787878471</v>
      </c>
      <c r="V114" s="662">
        <f>+S$29*U114+T114</f>
        <v>147021.15567705364</v>
      </c>
      <c r="W114" s="661">
        <f>+W113</f>
        <v>7510680.8143939488</v>
      </c>
      <c r="X114" s="630">
        <f>+X113</f>
        <v>693293.61363636365</v>
      </c>
      <c r="Y114" s="630">
        <f t="shared" si="77"/>
        <v>6817387.2007575855</v>
      </c>
      <c r="Z114" s="662">
        <f>+W$29*Y114+X114</f>
        <v>1963101.155058173</v>
      </c>
      <c r="AA114" s="661">
        <f>+AA113</f>
        <v>4921596.8087121192</v>
      </c>
      <c r="AB114" s="630">
        <f>+AB113</f>
        <v>450833.29545454547</v>
      </c>
      <c r="AC114" s="630">
        <f t="shared" si="78"/>
        <v>4470763.5132575734</v>
      </c>
      <c r="AD114" s="662">
        <f>+AA$29*AC114+AB114</f>
        <v>1283558.3641461213</v>
      </c>
      <c r="AE114" s="661">
        <f>+AE113</f>
        <v>48277.806818181896</v>
      </c>
      <c r="AF114" s="630">
        <f>+AF113</f>
        <v>4597.886363636364</v>
      </c>
      <c r="AG114" s="630">
        <f t="shared" si="79"/>
        <v>43679.920454545529</v>
      </c>
      <c r="AH114" s="662">
        <f>+AE$29*AG114+AF114</f>
        <v>12733.714763660799</v>
      </c>
      <c r="AI114" s="661">
        <f>+AI113</f>
        <v>3497311.276515156</v>
      </c>
      <c r="AJ114" s="630">
        <f>+AJ113</f>
        <v>295547.43181818182</v>
      </c>
      <c r="AK114" s="630">
        <f t="shared" si="83"/>
        <v>3201763.8446969744</v>
      </c>
      <c r="AL114" s="662">
        <f>+AI$29*AK114+AJ114</f>
        <v>891908.43583979737</v>
      </c>
      <c r="AM114" s="661">
        <f>+AM113</f>
        <v>1274969.5303409095</v>
      </c>
      <c r="AN114" s="630">
        <f>+AN113</f>
        <v>110866.91568181818</v>
      </c>
      <c r="AO114" s="630">
        <f t="shared" si="80"/>
        <v>1164102.6146590912</v>
      </c>
      <c r="AP114" s="662">
        <f>+AM$29*AO114+AN114</f>
        <v>327692.83968371386</v>
      </c>
      <c r="AQ114" s="661">
        <f>+AQ113</f>
        <v>10632953.787954545</v>
      </c>
      <c r="AR114" s="630">
        <f>+AR113</f>
        <v>904932.23727272719</v>
      </c>
      <c r="AS114" s="630">
        <f t="shared" si="81"/>
        <v>9728021.5506818183</v>
      </c>
      <c r="AT114" s="662">
        <f>+AQ$29*AS114+AR114</f>
        <v>2716874.9602556545</v>
      </c>
      <c r="AU114" s="775"/>
      <c r="AV114" s="775"/>
      <c r="AW114" s="775"/>
      <c r="AX114" s="757"/>
      <c r="AY114" s="775"/>
      <c r="AZ114" s="775"/>
      <c r="BA114" s="775"/>
      <c r="BB114" s="757"/>
      <c r="BC114" s="775"/>
      <c r="BD114" s="775"/>
      <c r="BE114" s="775"/>
      <c r="BF114" s="757"/>
      <c r="BG114" s="775"/>
      <c r="BH114" s="775"/>
      <c r="BI114" s="775"/>
      <c r="BJ114" s="757"/>
      <c r="BK114" s="775"/>
      <c r="BL114" s="775"/>
      <c r="BM114" s="775"/>
      <c r="BN114" s="757"/>
      <c r="BO114" s="775"/>
      <c r="BP114" s="775"/>
      <c r="BQ114" s="775"/>
      <c r="BR114" s="757"/>
      <c r="BS114" s="661">
        <f>+BS113</f>
        <v>99730.636363636644</v>
      </c>
      <c r="BT114" s="630">
        <f>+BT113</f>
        <v>8310.886363636364</v>
      </c>
      <c r="BU114" s="630">
        <f t="shared" si="82"/>
        <v>91419.750000000276</v>
      </c>
      <c r="BV114" s="662">
        <f>+BS$29*BU114+BT114</f>
        <v>25338.742427319637</v>
      </c>
      <c r="BW114" s="661">
        <f>+BW113</f>
        <v>7066305.0340909259</v>
      </c>
      <c r="BX114" s="630">
        <f>+BX113</f>
        <v>576841.22727272729</v>
      </c>
      <c r="BY114" s="630">
        <f t="shared" ref="BY114:BY132" si="84">+BW114-BX114</f>
        <v>6489463.8068181984</v>
      </c>
      <c r="BZ114" s="662">
        <f>+BW$29*BY114+BX114</f>
        <v>1733955.0185294005</v>
      </c>
      <c r="CA114" s="661">
        <f>+CA113</f>
        <v>666815.52000000142</v>
      </c>
      <c r="CB114" s="630">
        <f>+CB113</f>
        <v>54433.919999999998</v>
      </c>
      <c r="CC114" s="630">
        <f t="shared" ref="CC114:CC132" si="85">+CA114-CB114</f>
        <v>612381.60000000137</v>
      </c>
      <c r="CD114" s="662">
        <f>+CA$29*CC114+CB114</f>
        <v>168496.20676897559</v>
      </c>
      <c r="CE114" s="661">
        <f>+CE113</f>
        <v>57881.606363636572</v>
      </c>
      <c r="CF114" s="630">
        <f>+CF113</f>
        <v>4725.0290909090909</v>
      </c>
      <c r="CG114" s="630">
        <f t="shared" ref="CG114:CG132" si="86">+CE114-CF114</f>
        <v>53156.577272727482</v>
      </c>
      <c r="CH114" s="662">
        <f>+CE$29*CG114+CF114</f>
        <v>14625.980981917965</v>
      </c>
      <c r="CI114" s="661">
        <f>+CI113</f>
        <v>163806.136363636</v>
      </c>
      <c r="CJ114" s="630">
        <f>+CJ113</f>
        <v>12362.727272727272</v>
      </c>
      <c r="CK114" s="630">
        <f t="shared" si="24"/>
        <v>151443.40909090874</v>
      </c>
      <c r="CL114" s="662">
        <f>+CI$29*CK114+CJ114</f>
        <v>39366.076466215731</v>
      </c>
      <c r="CM114" s="661">
        <f>+CM113</f>
        <v>8343680.942897737</v>
      </c>
      <c r="CN114" s="630">
        <f>+CN113</f>
        <v>483691.64886363636</v>
      </c>
      <c r="CO114" s="630">
        <f t="shared" si="35"/>
        <v>7859989.2940341011</v>
      </c>
      <c r="CP114" s="662">
        <f>+CM$29*CO114+CN114</f>
        <v>1885179.0878876499</v>
      </c>
      <c r="CQ114" s="661">
        <f>+CQ113</f>
        <v>35814813.366647735</v>
      </c>
      <c r="CR114" s="630">
        <f>+CR113</f>
        <v>2017735.9643181816</v>
      </c>
      <c r="CS114" s="630">
        <f t="shared" si="40"/>
        <v>33797077.402329557</v>
      </c>
      <c r="CT114" s="662">
        <f>+CQ$29*CS114+CR114</f>
        <v>8043975.6553873718</v>
      </c>
      <c r="CU114" s="661">
        <f>+CU113</f>
        <v>12171516.705000022</v>
      </c>
      <c r="CV114" s="630">
        <f>+CV113</f>
        <v>676195.37250000006</v>
      </c>
      <c r="CW114" s="630">
        <f t="shared" si="41"/>
        <v>11495321.332500022</v>
      </c>
      <c r="CX114" s="662">
        <f>+CU$29*CW114+CV114</f>
        <v>2725886.2629534788</v>
      </c>
      <c r="CY114" s="782">
        <f t="shared" si="25"/>
        <v>11880396.169657625</v>
      </c>
      <c r="CZ114" s="779">
        <f>+CY114</f>
        <v>11880396.169657625</v>
      </c>
      <c r="DA114" s="752"/>
      <c r="DD114" s="661"/>
      <c r="DE114" s="630"/>
      <c r="DF114" s="630"/>
      <c r="DG114" s="662"/>
      <c r="DH114" s="661"/>
      <c r="DI114" s="630"/>
      <c r="DJ114" s="630"/>
      <c r="DK114" s="662"/>
      <c r="DL114" s="661"/>
      <c r="DM114" s="630"/>
      <c r="DN114" s="630"/>
      <c r="DO114" s="662"/>
      <c r="DP114" s="661"/>
      <c r="DQ114" s="630"/>
      <c r="DR114" s="630"/>
      <c r="DS114" s="662"/>
      <c r="DT114" s="661"/>
      <c r="DU114" s="630"/>
      <c r="DV114" s="630"/>
      <c r="DW114" s="662"/>
      <c r="DX114" s="661"/>
      <c r="DY114" s="630"/>
      <c r="DZ114" s="630"/>
      <c r="EA114" s="662"/>
      <c r="EB114" s="661"/>
      <c r="EC114" s="630"/>
      <c r="ED114" s="630"/>
      <c r="EE114" s="662"/>
      <c r="EF114" s="661"/>
      <c r="EG114" s="630"/>
      <c r="EH114" s="630"/>
      <c r="EI114" s="662"/>
      <c r="EJ114" s="661"/>
      <c r="EK114" s="630"/>
      <c r="EL114" s="630"/>
      <c r="EM114" s="662"/>
      <c r="EN114" s="661"/>
      <c r="EO114" s="630"/>
      <c r="EP114" s="630"/>
      <c r="EQ114" s="662"/>
      <c r="ER114" s="661"/>
      <c r="ES114" s="630"/>
      <c r="ET114" s="630"/>
      <c r="EU114" s="662"/>
      <c r="EW114" s="661"/>
      <c r="EX114" s="630"/>
      <c r="EY114" s="630"/>
      <c r="EZ114" s="662"/>
      <c r="FA114" s="661"/>
      <c r="FB114" s="630"/>
      <c r="FC114" s="630"/>
      <c r="FD114" s="662"/>
    </row>
    <row r="115" spans="1:160">
      <c r="A115" s="753" t="s">
        <v>24</v>
      </c>
      <c r="B115" s="774">
        <v>2044</v>
      </c>
      <c r="C115" s="775">
        <f>+E114</f>
        <v>3900679.8607954457</v>
      </c>
      <c r="D115" s="775">
        <f>+C$31</f>
        <v>445791.98409090913</v>
      </c>
      <c r="E115" s="775">
        <f t="shared" si="72"/>
        <v>3454887.8767045364</v>
      </c>
      <c r="F115" s="757">
        <f>+C$28*E115+D115</f>
        <v>1061821.0626690337</v>
      </c>
      <c r="G115" s="775">
        <f>+I114</f>
        <v>984646.37113636173</v>
      </c>
      <c r="H115" s="775">
        <f>+G$31</f>
        <v>115840.74954545456</v>
      </c>
      <c r="I115" s="775">
        <f t="shared" si="73"/>
        <v>868805.62159090722</v>
      </c>
      <c r="J115" s="757">
        <f>+G$28*I115+H115</f>
        <v>270754.46762612753</v>
      </c>
      <c r="K115" s="776">
        <f>+M114</f>
        <v>2367003.148806815</v>
      </c>
      <c r="L115" s="775">
        <f>+K$31</f>
        <v>305419.76113636367</v>
      </c>
      <c r="M115" s="775">
        <f t="shared" si="74"/>
        <v>2061583.3876704513</v>
      </c>
      <c r="N115" s="757">
        <f>+K$28*M115+L115</f>
        <v>673013.54711184045</v>
      </c>
      <c r="O115" s="776">
        <f>+Q114</f>
        <v>1173277.1287878752</v>
      </c>
      <c r="P115" s="775">
        <f>+O$31</f>
        <v>119316.31818181818</v>
      </c>
      <c r="Q115" s="775">
        <f t="shared" si="75"/>
        <v>1053960.8106060571</v>
      </c>
      <c r="R115" s="757">
        <f>+O$28*Q115+P115</f>
        <v>307244.41604947252</v>
      </c>
      <c r="S115" s="661">
        <f>+U114</f>
        <v>476244.92787878471</v>
      </c>
      <c r="T115" s="630">
        <f>+S$31</f>
        <v>58315.705454545445</v>
      </c>
      <c r="U115" s="630">
        <f t="shared" si="76"/>
        <v>417929.22242423927</v>
      </c>
      <c r="V115" s="662">
        <f>+S$28*U115+T115</f>
        <v>132835.21606930165</v>
      </c>
      <c r="W115" s="661">
        <f>+Y114</f>
        <v>6817387.2007575855</v>
      </c>
      <c r="X115" s="630">
        <f>+W$31</f>
        <v>693293.61363636365</v>
      </c>
      <c r="Y115" s="630">
        <f t="shared" si="77"/>
        <v>6124093.5871212222</v>
      </c>
      <c r="Z115" s="662">
        <f>+W$28*Y115+X115</f>
        <v>1785259.5078230724</v>
      </c>
      <c r="AA115" s="661">
        <f>+AC114</f>
        <v>4470763.5132575734</v>
      </c>
      <c r="AB115" s="630">
        <f>+AA$31</f>
        <v>450833.29545454547</v>
      </c>
      <c r="AC115" s="630">
        <f t="shared" si="78"/>
        <v>4019930.2178030279</v>
      </c>
      <c r="AD115" s="662">
        <f>+AA$28*AC115+AB115</f>
        <v>1167613.1147706157</v>
      </c>
      <c r="AE115" s="661">
        <f>+AG114</f>
        <v>43679.920454545529</v>
      </c>
      <c r="AF115" s="630">
        <f>+AE$31</f>
        <v>4597.886363636364</v>
      </c>
      <c r="AG115" s="630">
        <f t="shared" si="79"/>
        <v>39082.034090909161</v>
      </c>
      <c r="AH115" s="662">
        <f>+AE$28*AG115+AF115</f>
        <v>11566.468357951715</v>
      </c>
      <c r="AI115" s="661">
        <f>+AK114</f>
        <v>3201763.8446969744</v>
      </c>
      <c r="AJ115" s="630">
        <f>+AI$31</f>
        <v>295547.43181818182</v>
      </c>
      <c r="AK115" s="630">
        <f t="shared" si="83"/>
        <v>2906216.4128787927</v>
      </c>
      <c r="AL115" s="662">
        <f>+AI$28*AK115+AJ115</f>
        <v>813744.80402409146</v>
      </c>
      <c r="AM115" s="661">
        <f>+AO114</f>
        <v>1164102.6146590912</v>
      </c>
      <c r="AN115" s="630">
        <f>+AM$31</f>
        <v>110866.91568181818</v>
      </c>
      <c r="AO115" s="630">
        <f t="shared" si="80"/>
        <v>1053235.698977273</v>
      </c>
      <c r="AP115" s="662">
        <f>+AM$28*AO115+AN115</f>
        <v>298665.72140903637</v>
      </c>
      <c r="AQ115" s="661">
        <f>+AS114</f>
        <v>9728021.5506818183</v>
      </c>
      <c r="AR115" s="630">
        <f>+AQ$31</f>
        <v>904932.23727272719</v>
      </c>
      <c r="AS115" s="630">
        <f t="shared" si="81"/>
        <v>8823089.3134090919</v>
      </c>
      <c r="AT115" s="662">
        <f>+AQ$28*AS115+AR115</f>
        <v>2478146.7015106729</v>
      </c>
      <c r="AU115" s="775"/>
      <c r="AV115" s="775"/>
      <c r="AW115" s="775"/>
      <c r="AX115" s="757"/>
      <c r="AY115" s="775"/>
      <c r="AZ115" s="775"/>
      <c r="BA115" s="775"/>
      <c r="BB115" s="757"/>
      <c r="BC115" s="775"/>
      <c r="BD115" s="775"/>
      <c r="BE115" s="775"/>
      <c r="BF115" s="757"/>
      <c r="BG115" s="775"/>
      <c r="BH115" s="775"/>
      <c r="BI115" s="775"/>
      <c r="BJ115" s="757"/>
      <c r="BK115" s="775"/>
      <c r="BL115" s="775"/>
      <c r="BM115" s="775"/>
      <c r="BN115" s="757"/>
      <c r="BO115" s="775"/>
      <c r="BP115" s="775"/>
      <c r="BQ115" s="775"/>
      <c r="BR115" s="757"/>
      <c r="BS115" s="661">
        <f>+BU114</f>
        <v>91419.750000000276</v>
      </c>
      <c r="BT115" s="630">
        <f>+BS$31</f>
        <v>8310.886363636364</v>
      </c>
      <c r="BU115" s="630">
        <f t="shared" si="82"/>
        <v>83108.863636363909</v>
      </c>
      <c r="BV115" s="662">
        <f>+BS$28*BU115+BT115</f>
        <v>23129.73968527274</v>
      </c>
      <c r="BW115" s="661">
        <f>+BY114</f>
        <v>6489463.8068181984</v>
      </c>
      <c r="BX115" s="630">
        <f>+BW$31</f>
        <v>576841.22727272729</v>
      </c>
      <c r="BY115" s="630">
        <f t="shared" si="84"/>
        <v>5912622.5795454709</v>
      </c>
      <c r="BZ115" s="662">
        <f>+BW$28*BY115+BX115</f>
        <v>1631100.4593065854</v>
      </c>
      <c r="CA115" s="661">
        <f>+CC114</f>
        <v>612381.60000000137</v>
      </c>
      <c r="CB115" s="630">
        <f>+CA$31</f>
        <v>54433.919999999998</v>
      </c>
      <c r="CC115" s="630">
        <f t="shared" si="85"/>
        <v>557947.68000000133</v>
      </c>
      <c r="CD115" s="662">
        <f>+CA$28*CC115+CB115</f>
        <v>153919.63631593867</v>
      </c>
      <c r="CE115" s="661">
        <f>+CG114</f>
        <v>53156.577272727482</v>
      </c>
      <c r="CF115" s="630">
        <f>+CE$31</f>
        <v>4725.0290909090909</v>
      </c>
      <c r="CG115" s="630">
        <f t="shared" si="86"/>
        <v>48431.548181818391</v>
      </c>
      <c r="CH115" s="662">
        <f>+CE$28*CG115+CF115</f>
        <v>13360.690526329143</v>
      </c>
      <c r="CI115" s="661">
        <f>+CK114</f>
        <v>151443.40909090874</v>
      </c>
      <c r="CJ115" s="630">
        <f>+CI$31</f>
        <v>12362.727272727272</v>
      </c>
      <c r="CK115" s="630">
        <f t="shared" si="24"/>
        <v>139080.68181818147</v>
      </c>
      <c r="CL115" s="662">
        <f>+CI$28*CK115+CJ115</f>
        <v>37161.721430012592</v>
      </c>
      <c r="CM115" s="661">
        <f>+CO114</f>
        <v>7859989.2940341011</v>
      </c>
      <c r="CN115" s="630">
        <f>+CM$31</f>
        <v>483691.64886363636</v>
      </c>
      <c r="CO115" s="630">
        <f t="shared" si="35"/>
        <v>7376297.6451704651</v>
      </c>
      <c r="CP115" s="662">
        <f>+CM$28*CO115+CN115</f>
        <v>1798933.7070246337</v>
      </c>
      <c r="CQ115" s="661">
        <f>+CS114</f>
        <v>33797077.402329557</v>
      </c>
      <c r="CR115" s="630">
        <f>+CQ$31</f>
        <v>2017735.9643181816</v>
      </c>
      <c r="CS115" s="630">
        <f t="shared" si="40"/>
        <v>31779341.438011374</v>
      </c>
      <c r="CT115" s="662">
        <f>+CQ$28*CS115+CR115</f>
        <v>7684200.1514429422</v>
      </c>
      <c r="CU115" s="661">
        <f>+CW114</f>
        <v>11495321.332500022</v>
      </c>
      <c r="CV115" s="630">
        <f>+CU$31</f>
        <v>676195.37250000006</v>
      </c>
      <c r="CW115" s="630">
        <f t="shared" si="41"/>
        <v>10819125.960000021</v>
      </c>
      <c r="CX115" s="662">
        <f>+CU$28*CW115+CV115</f>
        <v>2605316.2105738623</v>
      </c>
      <c r="CY115" s="782">
        <f t="shared" si="25"/>
        <v>10859337.274685353</v>
      </c>
      <c r="CZ115" s="756"/>
      <c r="DA115" s="778">
        <f>+CY115</f>
        <v>10859337.274685353</v>
      </c>
      <c r="DD115" s="661"/>
      <c r="DE115" s="630"/>
      <c r="DF115" s="630"/>
      <c r="DG115" s="662"/>
      <c r="DH115" s="661"/>
      <c r="DI115" s="630"/>
      <c r="DJ115" s="630"/>
      <c r="DK115" s="662"/>
      <c r="DL115" s="661"/>
      <c r="DM115" s="630"/>
      <c r="DN115" s="630"/>
      <c r="DO115" s="662"/>
      <c r="DP115" s="661"/>
      <c r="DQ115" s="630"/>
      <c r="DR115" s="630"/>
      <c r="DS115" s="662"/>
      <c r="DT115" s="661"/>
      <c r="DU115" s="630"/>
      <c r="DV115" s="630"/>
      <c r="DW115" s="662"/>
      <c r="DX115" s="661"/>
      <c r="DY115" s="630"/>
      <c r="DZ115" s="630"/>
      <c r="EA115" s="662"/>
      <c r="EB115" s="661"/>
      <c r="EC115" s="630"/>
      <c r="ED115" s="630"/>
      <c r="EE115" s="662"/>
      <c r="EF115" s="661"/>
      <c r="EG115" s="630"/>
      <c r="EH115" s="630"/>
      <c r="EI115" s="662"/>
      <c r="EJ115" s="661"/>
      <c r="EK115" s="630"/>
      <c r="EL115" s="630"/>
      <c r="EM115" s="662"/>
      <c r="EN115" s="661"/>
      <c r="EO115" s="630"/>
      <c r="EP115" s="630"/>
      <c r="EQ115" s="662"/>
      <c r="ER115" s="661"/>
      <c r="ES115" s="630"/>
      <c r="ET115" s="630"/>
      <c r="EU115" s="662"/>
      <c r="EW115" s="661"/>
      <c r="EX115" s="630"/>
      <c r="EY115" s="630"/>
      <c r="EZ115" s="662"/>
      <c r="FA115" s="661"/>
      <c r="FB115" s="630"/>
      <c r="FC115" s="630"/>
      <c r="FD115" s="662"/>
    </row>
    <row r="116" spans="1:160">
      <c r="A116" s="753" t="s">
        <v>23</v>
      </c>
      <c r="B116" s="774">
        <v>2044</v>
      </c>
      <c r="C116" s="775">
        <f>+C115</f>
        <v>3900679.8607954457</v>
      </c>
      <c r="D116" s="775">
        <f>+D115</f>
        <v>445791.98409090913</v>
      </c>
      <c r="E116" s="775">
        <f t="shared" si="72"/>
        <v>3454887.8767045364</v>
      </c>
      <c r="F116" s="757">
        <f>+C$29*E116+D116</f>
        <v>1089299.9074957422</v>
      </c>
      <c r="G116" s="775">
        <f>+G115</f>
        <v>984646.37113636173</v>
      </c>
      <c r="H116" s="775">
        <f>+H115</f>
        <v>115840.74954545456</v>
      </c>
      <c r="I116" s="775">
        <f t="shared" si="73"/>
        <v>868805.62159090722</v>
      </c>
      <c r="J116" s="757">
        <f>+G$29*I116+H116</f>
        <v>277664.61224217818</v>
      </c>
      <c r="K116" s="776">
        <f>+K115</f>
        <v>2367003.148806815</v>
      </c>
      <c r="L116" s="775">
        <f>+L115</f>
        <v>305419.76113636367</v>
      </c>
      <c r="M116" s="775">
        <f t="shared" si="74"/>
        <v>2061583.3876704513</v>
      </c>
      <c r="N116" s="757">
        <f>+K$29*M116+L116</f>
        <v>689410.58575066086</v>
      </c>
      <c r="O116" s="776">
        <f>+O115</f>
        <v>1173277.1287878752</v>
      </c>
      <c r="P116" s="775">
        <f>+P115</f>
        <v>119316.31818181818</v>
      </c>
      <c r="Q116" s="775">
        <f t="shared" si="75"/>
        <v>1053960.8106060571</v>
      </c>
      <c r="R116" s="757">
        <f>+O$29*Q116+P116</f>
        <v>315627.21358202258</v>
      </c>
      <c r="S116" s="661">
        <f>+S115</f>
        <v>476244.92787878471</v>
      </c>
      <c r="T116" s="630">
        <f>+T115</f>
        <v>58315.705454545445</v>
      </c>
      <c r="U116" s="630">
        <f t="shared" si="76"/>
        <v>417929.22242423927</v>
      </c>
      <c r="V116" s="662">
        <f>+S$29*U116+T116</f>
        <v>136159.26381307299</v>
      </c>
      <c r="W116" s="661">
        <f>+W115</f>
        <v>6817387.2007575855</v>
      </c>
      <c r="X116" s="630">
        <f>+X115</f>
        <v>693293.61363636365</v>
      </c>
      <c r="Y116" s="630">
        <f t="shared" si="77"/>
        <v>6124093.5871212222</v>
      </c>
      <c r="Z116" s="662">
        <f>+W$29*Y116+X116</f>
        <v>1833968.1847440908</v>
      </c>
      <c r="AA116" s="661">
        <f>+AA115</f>
        <v>4470763.5132575734</v>
      </c>
      <c r="AB116" s="630">
        <f>+AB115</f>
        <v>450833.29545454547</v>
      </c>
      <c r="AC116" s="630">
        <f t="shared" si="78"/>
        <v>4019930.2178030279</v>
      </c>
      <c r="AD116" s="662">
        <f>+AA$29*AC116+AB116</f>
        <v>1199586.0883116766</v>
      </c>
      <c r="AE116" s="661">
        <f>+AE115</f>
        <v>43679.920454545529</v>
      </c>
      <c r="AF116" s="630">
        <f>+AF115</f>
        <v>4597.886363636364</v>
      </c>
      <c r="AG116" s="630">
        <f t="shared" si="79"/>
        <v>39082.034090909161</v>
      </c>
      <c r="AH116" s="662">
        <f>+AE$29*AG116+AF116</f>
        <v>11877.311774184545</v>
      </c>
      <c r="AI116" s="661">
        <f>+AI115</f>
        <v>3201763.8446969744</v>
      </c>
      <c r="AJ116" s="630">
        <f>+AJ115</f>
        <v>295547.43181818182</v>
      </c>
      <c r="AK116" s="630">
        <f t="shared" si="83"/>
        <v>2906216.4128787927</v>
      </c>
      <c r="AL116" s="662">
        <f>+AI$29*AK116+AJ116</f>
        <v>836859.72777626361</v>
      </c>
      <c r="AM116" s="661">
        <f>+AM115</f>
        <v>1164102.6146590912</v>
      </c>
      <c r="AN116" s="630">
        <f>+AN115</f>
        <v>110866.91568181818</v>
      </c>
      <c r="AO116" s="630">
        <f t="shared" si="80"/>
        <v>1053235.698977273</v>
      </c>
      <c r="AP116" s="662">
        <f>+AM$29*AO116+AN116</f>
        <v>307042.75168353331</v>
      </c>
      <c r="AQ116" s="661">
        <f>+AQ115</f>
        <v>9728021.5506818183</v>
      </c>
      <c r="AR116" s="630">
        <f>+AR115</f>
        <v>904932.23727272719</v>
      </c>
      <c r="AS116" s="630">
        <f t="shared" si="81"/>
        <v>8823089.3134090919</v>
      </c>
      <c r="AT116" s="662">
        <f>+AQ$29*AS116+AR116</f>
        <v>2548322.1488153823</v>
      </c>
      <c r="AU116" s="775"/>
      <c r="AV116" s="775"/>
      <c r="AW116" s="775"/>
      <c r="AX116" s="757"/>
      <c r="AY116" s="775"/>
      <c r="AZ116" s="775"/>
      <c r="BA116" s="775"/>
      <c r="BB116" s="757"/>
      <c r="BC116" s="775"/>
      <c r="BD116" s="775"/>
      <c r="BE116" s="775"/>
      <c r="BF116" s="757"/>
      <c r="BG116" s="775"/>
      <c r="BH116" s="775"/>
      <c r="BI116" s="775"/>
      <c r="BJ116" s="757"/>
      <c r="BK116" s="775"/>
      <c r="BL116" s="775"/>
      <c r="BM116" s="775"/>
      <c r="BN116" s="757"/>
      <c r="BO116" s="775"/>
      <c r="BP116" s="775"/>
      <c r="BQ116" s="775"/>
      <c r="BR116" s="757"/>
      <c r="BS116" s="661">
        <f>+BS115</f>
        <v>91419.750000000276</v>
      </c>
      <c r="BT116" s="630">
        <f>+BT115</f>
        <v>8310.886363636364</v>
      </c>
      <c r="BU116" s="630">
        <f t="shared" si="82"/>
        <v>83108.863636363909</v>
      </c>
      <c r="BV116" s="662">
        <f>+BS$29*BU116+BT116</f>
        <v>23790.755512439348</v>
      </c>
      <c r="BW116" s="661">
        <f>+BW115</f>
        <v>6489463.8068181984</v>
      </c>
      <c r="BX116" s="630">
        <f>+BX115</f>
        <v>576841.22727272729</v>
      </c>
      <c r="BY116" s="630">
        <f t="shared" si="84"/>
        <v>5912622.5795454709</v>
      </c>
      <c r="BZ116" s="662">
        <f>+BW$29*BY116+BX116</f>
        <v>1631100.4593065854</v>
      </c>
      <c r="CA116" s="661">
        <f>+CA115</f>
        <v>612381.60000000137</v>
      </c>
      <c r="CB116" s="630">
        <f>+CB115</f>
        <v>54433.919999999998</v>
      </c>
      <c r="CC116" s="630">
        <f t="shared" si="85"/>
        <v>557947.68000000133</v>
      </c>
      <c r="CD116" s="662">
        <f>+CA$29*CC116+CB116</f>
        <v>158357.33683395555</v>
      </c>
      <c r="CE116" s="661">
        <f>+CE115</f>
        <v>53156.577272727482</v>
      </c>
      <c r="CF116" s="630">
        <f>+CF115</f>
        <v>4725.0290909090909</v>
      </c>
      <c r="CG116" s="630">
        <f t="shared" si="86"/>
        <v>48431.548181818391</v>
      </c>
      <c r="CH116" s="662">
        <f>+CE$29*CG116+CF116</f>
        <v>13745.896369383845</v>
      </c>
      <c r="CI116" s="661">
        <f>+CI115</f>
        <v>151443.40909090874</v>
      </c>
      <c r="CJ116" s="630">
        <f>+CJ115</f>
        <v>12362.727272727272</v>
      </c>
      <c r="CK116" s="630">
        <f t="shared" ref="CK116:CK132" si="87">+CI116-CJ116</f>
        <v>139080.68181818147</v>
      </c>
      <c r="CL116" s="662">
        <f>+CI$29*CK116+CJ116</f>
        <v>37161.721430012592</v>
      </c>
      <c r="CM116" s="661">
        <f>+CM115</f>
        <v>7859989.2940341011</v>
      </c>
      <c r="CN116" s="630">
        <f>+CN115</f>
        <v>483691.64886363636</v>
      </c>
      <c r="CO116" s="630">
        <f t="shared" ref="CO116:CO132" si="88">+CM116-CN116</f>
        <v>7376297.6451704651</v>
      </c>
      <c r="CP116" s="662">
        <f>+CM$29*CO116+CN116</f>
        <v>1798933.7070246337</v>
      </c>
      <c r="CQ116" s="661">
        <f>+CQ115</f>
        <v>33797077.402329557</v>
      </c>
      <c r="CR116" s="630">
        <f>+CR115</f>
        <v>2017735.9643181816</v>
      </c>
      <c r="CS116" s="630">
        <f t="shared" ref="CS116:CS132" si="89">+CQ116-CR116</f>
        <v>31779341.438011374</v>
      </c>
      <c r="CT116" s="662">
        <f>+CQ$29*CS116+CR116</f>
        <v>7684200.1514429422</v>
      </c>
      <c r="CU116" s="661">
        <f>+CU115</f>
        <v>11495321.332500022</v>
      </c>
      <c r="CV116" s="630">
        <f>+CV115</f>
        <v>676195.37250000006</v>
      </c>
      <c r="CW116" s="630">
        <f t="shared" ref="CW116:CW132" si="90">+CU116-CV116</f>
        <v>10819125.960000021</v>
      </c>
      <c r="CX116" s="662">
        <f>+CU$29*CW116+CV116</f>
        <v>2605316.2105738623</v>
      </c>
      <c r="CY116" s="782">
        <f t="shared" si="25"/>
        <v>11109973.965441186</v>
      </c>
      <c r="CZ116" s="779">
        <f>+CY116</f>
        <v>11109973.965441186</v>
      </c>
      <c r="DA116" s="752"/>
      <c r="DD116" s="661"/>
      <c r="DE116" s="630"/>
      <c r="DF116" s="630"/>
      <c r="DG116" s="662"/>
      <c r="DH116" s="661"/>
      <c r="DI116" s="630"/>
      <c r="DJ116" s="630"/>
      <c r="DK116" s="662"/>
      <c r="DL116" s="661"/>
      <c r="DM116" s="630"/>
      <c r="DN116" s="630"/>
      <c r="DO116" s="662"/>
      <c r="DP116" s="661"/>
      <c r="DQ116" s="630"/>
      <c r="DR116" s="630"/>
      <c r="DS116" s="662"/>
      <c r="DT116" s="661"/>
      <c r="DU116" s="630"/>
      <c r="DV116" s="630"/>
      <c r="DW116" s="662"/>
      <c r="DX116" s="661"/>
      <c r="DY116" s="630"/>
      <c r="DZ116" s="630"/>
      <c r="EA116" s="662"/>
      <c r="EB116" s="661"/>
      <c r="EC116" s="630"/>
      <c r="ED116" s="630"/>
      <c r="EE116" s="662"/>
      <c r="EF116" s="661"/>
      <c r="EG116" s="630"/>
      <c r="EH116" s="630"/>
      <c r="EI116" s="662"/>
      <c r="EJ116" s="661"/>
      <c r="EK116" s="630"/>
      <c r="EL116" s="630"/>
      <c r="EM116" s="662"/>
      <c r="EN116" s="661"/>
      <c r="EO116" s="630"/>
      <c r="EP116" s="630"/>
      <c r="EQ116" s="662"/>
      <c r="ER116" s="661"/>
      <c r="ES116" s="630"/>
      <c r="ET116" s="630"/>
      <c r="EU116" s="662"/>
      <c r="EW116" s="661"/>
      <c r="EX116" s="630"/>
      <c r="EY116" s="630"/>
      <c r="EZ116" s="662"/>
      <c r="FA116" s="661"/>
      <c r="FB116" s="630"/>
      <c r="FC116" s="630"/>
      <c r="FD116" s="662"/>
    </row>
    <row r="117" spans="1:160">
      <c r="A117" s="753" t="s">
        <v>24</v>
      </c>
      <c r="B117" s="774">
        <v>2045</v>
      </c>
      <c r="C117" s="775">
        <f>+E116</f>
        <v>3454887.8767045364</v>
      </c>
      <c r="D117" s="775">
        <f>+C$31</f>
        <v>445791.98409090913</v>
      </c>
      <c r="E117" s="775">
        <f t="shared" si="72"/>
        <v>3009095.892613627</v>
      </c>
      <c r="F117" s="757">
        <f>+C$28*E117+D117</f>
        <v>982333.43962669489</v>
      </c>
      <c r="G117" s="775">
        <f>+I116</f>
        <v>868805.62159090722</v>
      </c>
      <c r="H117" s="775">
        <f>+G$31</f>
        <v>115840.74954545456</v>
      </c>
      <c r="I117" s="775">
        <f t="shared" si="73"/>
        <v>752964.87204545271</v>
      </c>
      <c r="J117" s="757">
        <f>+G$28*I117+H117</f>
        <v>250099.30521537113</v>
      </c>
      <c r="K117" s="776">
        <f>+M116</f>
        <v>2061583.3876704513</v>
      </c>
      <c r="L117" s="775">
        <f>+K$31</f>
        <v>305419.76113636367</v>
      </c>
      <c r="M117" s="775">
        <f t="shared" si="74"/>
        <v>1756163.6265340876</v>
      </c>
      <c r="N117" s="757">
        <f>+K$28*M117+L117</f>
        <v>618555.20844880678</v>
      </c>
      <c r="O117" s="776">
        <f>+Q116</f>
        <v>1053960.8106060571</v>
      </c>
      <c r="P117" s="775">
        <f>+O$31</f>
        <v>119316.31818181818</v>
      </c>
      <c r="Q117" s="775">
        <f t="shared" si="75"/>
        <v>934644.49242423894</v>
      </c>
      <c r="R117" s="757">
        <f>+O$28*Q117+P117</f>
        <v>285969.53704558709</v>
      </c>
      <c r="S117" s="661">
        <f>+U116</f>
        <v>417929.22242423927</v>
      </c>
      <c r="T117" s="630">
        <f>+S$31</f>
        <v>58315.705454545445</v>
      </c>
      <c r="U117" s="630">
        <f t="shared" si="76"/>
        <v>359613.51696969382</v>
      </c>
      <c r="V117" s="662">
        <f>+S$28*U117+T117</f>
        <v>122437.14482073094</v>
      </c>
      <c r="W117" s="661">
        <f>+Y116</f>
        <v>6124093.5871212222</v>
      </c>
      <c r="X117" s="630">
        <f>+W$31</f>
        <v>693293.61363636365</v>
      </c>
      <c r="Y117" s="630">
        <f t="shared" si="77"/>
        <v>5430799.9734848589</v>
      </c>
      <c r="Z117" s="662">
        <f>+W$28*Y117+X117</f>
        <v>1661640.7273491058</v>
      </c>
      <c r="AA117" s="661">
        <f>+AC116</f>
        <v>4019930.2178030279</v>
      </c>
      <c r="AB117" s="630">
        <f>+AA$31</f>
        <v>450833.29545454547</v>
      </c>
      <c r="AC117" s="630">
        <f t="shared" si="78"/>
        <v>3569096.9223484825</v>
      </c>
      <c r="AD117" s="662">
        <f>+AA$28*AC117+AB117</f>
        <v>1087226.5929781592</v>
      </c>
      <c r="AE117" s="661">
        <f>+AG116</f>
        <v>39082.034090909161</v>
      </c>
      <c r="AF117" s="630">
        <f>+AE$31</f>
        <v>4597.886363636364</v>
      </c>
      <c r="AG117" s="630">
        <f t="shared" si="79"/>
        <v>34484.147727272793</v>
      </c>
      <c r="AH117" s="662">
        <f>+AE$28*AG117+AF117</f>
        <v>10746.63518214991</v>
      </c>
      <c r="AI117" s="661">
        <f>+AK116</f>
        <v>2906216.4128787927</v>
      </c>
      <c r="AJ117" s="630">
        <f>+AI$31</f>
        <v>295547.43181818182</v>
      </c>
      <c r="AK117" s="630">
        <f t="shared" si="83"/>
        <v>2610668.9810606111</v>
      </c>
      <c r="AL117" s="662">
        <f>+AI$28*AK117+AJ117</f>
        <v>761046.76617264305</v>
      </c>
      <c r="AM117" s="661">
        <f>+AO116</f>
        <v>1053235.698977273</v>
      </c>
      <c r="AN117" s="630">
        <f>+AM$31</f>
        <v>110866.91568181818</v>
      </c>
      <c r="AO117" s="630">
        <f t="shared" si="80"/>
        <v>942368.78329545481</v>
      </c>
      <c r="AP117" s="662">
        <f>+AM$28*AO117+AN117</f>
        <v>278897.4260693292</v>
      </c>
      <c r="AQ117" s="661">
        <f>+AS116</f>
        <v>8823089.3134090919</v>
      </c>
      <c r="AR117" s="630">
        <f>+AQ$31</f>
        <v>904932.23727272719</v>
      </c>
      <c r="AS117" s="630">
        <f t="shared" si="81"/>
        <v>7918157.0761363646</v>
      </c>
      <c r="AT117" s="662">
        <f>+AQ$28*AS117+AR117</f>
        <v>2316791.3718452426</v>
      </c>
      <c r="AU117" s="775"/>
      <c r="AV117" s="775"/>
      <c r="AW117" s="775"/>
      <c r="AX117" s="757"/>
      <c r="AY117" s="775"/>
      <c r="AZ117" s="775"/>
      <c r="BA117" s="775"/>
      <c r="BB117" s="757"/>
      <c r="BC117" s="775"/>
      <c r="BD117" s="775"/>
      <c r="BE117" s="775"/>
      <c r="BF117" s="757"/>
      <c r="BG117" s="775"/>
      <c r="BH117" s="775"/>
      <c r="BI117" s="775"/>
      <c r="BJ117" s="757"/>
      <c r="BK117" s="775"/>
      <c r="BL117" s="775"/>
      <c r="BM117" s="775"/>
      <c r="BN117" s="757"/>
      <c r="BO117" s="775"/>
      <c r="BP117" s="775"/>
      <c r="BQ117" s="775"/>
      <c r="BR117" s="757"/>
      <c r="BS117" s="661">
        <f>+BU116</f>
        <v>83108.863636363909</v>
      </c>
      <c r="BT117" s="630">
        <f>+BS$31</f>
        <v>8310.886363636364</v>
      </c>
      <c r="BU117" s="630">
        <f t="shared" si="82"/>
        <v>74797.977272727541</v>
      </c>
      <c r="BV117" s="662">
        <f>+BS$28*BU117+BT117</f>
        <v>21647.854353109105</v>
      </c>
      <c r="BW117" s="661">
        <f>+BY116</f>
        <v>5912622.5795454709</v>
      </c>
      <c r="BX117" s="630">
        <f>+BW$31</f>
        <v>576841.22727272729</v>
      </c>
      <c r="BY117" s="630">
        <f t="shared" si="84"/>
        <v>5335781.3522727434</v>
      </c>
      <c r="BZ117" s="662">
        <f>+BW$28*BY117+BX117</f>
        <v>1528245.90008377</v>
      </c>
      <c r="CA117" s="661">
        <f>+CC116</f>
        <v>557947.68000000133</v>
      </c>
      <c r="CB117" s="630">
        <f>+CA$31</f>
        <v>54433.919999999998</v>
      </c>
      <c r="CC117" s="630">
        <f t="shared" si="85"/>
        <v>503513.76000000135</v>
      </c>
      <c r="CD117" s="662">
        <f>+CA$28*CC117+CB117</f>
        <v>144213.71277292026</v>
      </c>
      <c r="CE117" s="661">
        <f>+CG116</f>
        <v>48431.548181818391</v>
      </c>
      <c r="CF117" s="630">
        <f>+CE$31</f>
        <v>4725.0290909090909</v>
      </c>
      <c r="CG117" s="630">
        <f t="shared" si="86"/>
        <v>43706.5190909093</v>
      </c>
      <c r="CH117" s="662">
        <f>+CE$28*CG117+CF117</f>
        <v>12518.18697165402</v>
      </c>
      <c r="CI117" s="661">
        <f>+CK116</f>
        <v>139080.68181818147</v>
      </c>
      <c r="CJ117" s="630">
        <f>+CI$31</f>
        <v>12362.727272727272</v>
      </c>
      <c r="CK117" s="630">
        <f t="shared" si="87"/>
        <v>126717.95454545421</v>
      </c>
      <c r="CL117" s="662">
        <f>+CI$28*CK117+CJ117</f>
        <v>34957.366393809447</v>
      </c>
      <c r="CM117" s="661">
        <f>+CO116</f>
        <v>7376297.6451704651</v>
      </c>
      <c r="CN117" s="630">
        <f>+CM$31</f>
        <v>483691.64886363636</v>
      </c>
      <c r="CO117" s="630">
        <f t="shared" si="88"/>
        <v>6892605.9963068292</v>
      </c>
      <c r="CP117" s="662">
        <f>+CM$28*CO117+CN117</f>
        <v>1712688.3261616176</v>
      </c>
      <c r="CQ117" s="661">
        <f>+CS116</f>
        <v>31779341.438011374</v>
      </c>
      <c r="CR117" s="630">
        <f>+CQ$31</f>
        <v>2017735.9643181816</v>
      </c>
      <c r="CS117" s="630">
        <f t="shared" si="89"/>
        <v>29761605.473693192</v>
      </c>
      <c r="CT117" s="662">
        <f>+CQ$28*CS117+CR117</f>
        <v>7324424.6474985136</v>
      </c>
      <c r="CU117" s="661">
        <f>+CW116</f>
        <v>10819125.960000021</v>
      </c>
      <c r="CV117" s="630">
        <f>+CU$31</f>
        <v>676195.37250000006</v>
      </c>
      <c r="CW117" s="630">
        <f t="shared" si="90"/>
        <v>10142930.587500021</v>
      </c>
      <c r="CX117" s="662">
        <f>+CU$28*CW117+CV117</f>
        <v>2484746.1581942458</v>
      </c>
      <c r="CY117" s="782">
        <f t="shared" ref="CY117:CY134" si="91">+R117+J117+F117+N117+V117+Z117+AD117+AH117+AL117+AP117+AT117+BV117+BZ117+CD117+CH117+CL117</f>
        <v>10117327.175329084</v>
      </c>
      <c r="CZ117" s="756"/>
      <c r="DA117" s="778">
        <f>+CY117</f>
        <v>10117327.175329084</v>
      </c>
      <c r="DD117" s="661"/>
      <c r="DE117" s="630"/>
      <c r="DF117" s="630"/>
      <c r="DG117" s="662"/>
      <c r="DH117" s="661"/>
      <c r="DI117" s="630"/>
      <c r="DJ117" s="630"/>
      <c r="DK117" s="662"/>
      <c r="DL117" s="661"/>
      <c r="DM117" s="630"/>
      <c r="DN117" s="630"/>
      <c r="DO117" s="662"/>
      <c r="DP117" s="661"/>
      <c r="DQ117" s="630"/>
      <c r="DR117" s="630"/>
      <c r="DS117" s="662"/>
      <c r="DT117" s="661"/>
      <c r="DU117" s="630"/>
      <c r="DV117" s="630"/>
      <c r="DW117" s="662"/>
      <c r="DX117" s="661"/>
      <c r="DY117" s="630"/>
      <c r="DZ117" s="630"/>
      <c r="EA117" s="662"/>
      <c r="EB117" s="661"/>
      <c r="EC117" s="630"/>
      <c r="ED117" s="630"/>
      <c r="EE117" s="662"/>
      <c r="EF117" s="661"/>
      <c r="EG117" s="630"/>
      <c r="EH117" s="630"/>
      <c r="EI117" s="662"/>
      <c r="EJ117" s="661"/>
      <c r="EK117" s="630"/>
      <c r="EL117" s="630"/>
      <c r="EM117" s="662"/>
      <c r="EN117" s="661"/>
      <c r="EO117" s="630"/>
      <c r="EP117" s="630"/>
      <c r="EQ117" s="662"/>
      <c r="ER117" s="661"/>
      <c r="ES117" s="630"/>
      <c r="ET117" s="630"/>
      <c r="EU117" s="662"/>
      <c r="EW117" s="661"/>
      <c r="EX117" s="630"/>
      <c r="EY117" s="630"/>
      <c r="EZ117" s="662"/>
      <c r="FA117" s="661"/>
      <c r="FB117" s="630"/>
      <c r="FC117" s="630"/>
      <c r="FD117" s="662"/>
    </row>
    <row r="118" spans="1:160">
      <c r="A118" s="753" t="s">
        <v>23</v>
      </c>
      <c r="B118" s="774">
        <v>2045</v>
      </c>
      <c r="C118" s="775">
        <f>+C117</f>
        <v>3454887.8767045364</v>
      </c>
      <c r="D118" s="775">
        <f>+D117</f>
        <v>445791.98409090913</v>
      </c>
      <c r="E118" s="775">
        <f t="shared" si="72"/>
        <v>3009095.892613627</v>
      </c>
      <c r="F118" s="757">
        <f>+C$29*E118+D118</f>
        <v>1006266.6270564087</v>
      </c>
      <c r="G118" s="775">
        <f>+G117</f>
        <v>868805.62159090722</v>
      </c>
      <c r="H118" s="775">
        <f>+H117</f>
        <v>115840.74954545456</v>
      </c>
      <c r="I118" s="775">
        <f t="shared" si="73"/>
        <v>752964.87204545271</v>
      </c>
      <c r="J118" s="757">
        <f>+G$29*I118+H118</f>
        <v>256088.09721594834</v>
      </c>
      <c r="K118" s="776">
        <f>+K117</f>
        <v>2061583.3876704513</v>
      </c>
      <c r="L118" s="775">
        <f>+L117</f>
        <v>305419.76113636367</v>
      </c>
      <c r="M118" s="775">
        <f t="shared" si="74"/>
        <v>1756163.6265340876</v>
      </c>
      <c r="N118" s="757">
        <f>+K$29*M118+L118</f>
        <v>632523.05617817235</v>
      </c>
      <c r="O118" s="776">
        <f>+O117</f>
        <v>1053960.8106060571</v>
      </c>
      <c r="P118" s="775">
        <f>+P117</f>
        <v>119316.31818181818</v>
      </c>
      <c r="Q118" s="775">
        <f t="shared" si="75"/>
        <v>934644.49242423894</v>
      </c>
      <c r="R118" s="757">
        <f>+O$29*Q118+P118</f>
        <v>293403.33863105596</v>
      </c>
      <c r="S118" s="661">
        <f>+S117</f>
        <v>417929.22242423927</v>
      </c>
      <c r="T118" s="630">
        <f>+T117</f>
        <v>58315.705454545445</v>
      </c>
      <c r="U118" s="630">
        <f t="shared" si="76"/>
        <v>359613.51696969382</v>
      </c>
      <c r="V118" s="662">
        <f>+S$29*U118+T118</f>
        <v>125297.37194909231</v>
      </c>
      <c r="W118" s="661">
        <f>+W117</f>
        <v>6124093.5871212222</v>
      </c>
      <c r="X118" s="630">
        <f>+X117</f>
        <v>693293.61363636365</v>
      </c>
      <c r="Y118" s="630">
        <f t="shared" si="77"/>
        <v>5430799.9734848589</v>
      </c>
      <c r="Z118" s="662">
        <f>+W$29*Y118+X118</f>
        <v>1704835.2144300088</v>
      </c>
      <c r="AA118" s="661">
        <f>+AA117</f>
        <v>4019930.2178030279</v>
      </c>
      <c r="AB118" s="630">
        <f>+AB117</f>
        <v>450833.29545454547</v>
      </c>
      <c r="AC118" s="630">
        <f t="shared" si="78"/>
        <v>3569096.9223484825</v>
      </c>
      <c r="AD118" s="662">
        <f>+AA$29*AC118+AB118</f>
        <v>1115613.812477232</v>
      </c>
      <c r="AE118" s="661">
        <f>+AE117</f>
        <v>39082.034090909161</v>
      </c>
      <c r="AF118" s="630">
        <f>+AF117</f>
        <v>4597.886363636364</v>
      </c>
      <c r="AG118" s="630">
        <f t="shared" si="79"/>
        <v>34484.147727272793</v>
      </c>
      <c r="AH118" s="662">
        <f>+AE$29*AG118+AF118</f>
        <v>11020.908784708288</v>
      </c>
      <c r="AI118" s="661">
        <f>+AI117</f>
        <v>2906216.4128787927</v>
      </c>
      <c r="AJ118" s="630">
        <f>+AJ117</f>
        <v>295547.43181818182</v>
      </c>
      <c r="AK118" s="630">
        <f t="shared" si="83"/>
        <v>2610668.9810606111</v>
      </c>
      <c r="AL118" s="662">
        <f>+AI$29*AK118+AJ118</f>
        <v>781811.01971273008</v>
      </c>
      <c r="AM118" s="661">
        <f>+AM117</f>
        <v>1053235.698977273</v>
      </c>
      <c r="AN118" s="630">
        <f>+AN117</f>
        <v>110866.91568181818</v>
      </c>
      <c r="AO118" s="630">
        <f t="shared" si="80"/>
        <v>942368.78329545481</v>
      </c>
      <c r="AP118" s="662">
        <f>+AM$29*AO118+AN118</f>
        <v>286392.66368335276</v>
      </c>
      <c r="AQ118" s="661">
        <f>+AQ117</f>
        <v>8823089.3134090919</v>
      </c>
      <c r="AR118" s="630">
        <f>+AR117</f>
        <v>904932.23727272719</v>
      </c>
      <c r="AS118" s="630">
        <f t="shared" si="81"/>
        <v>7918157.0761363646</v>
      </c>
      <c r="AT118" s="662">
        <f>+AQ$29*AS118+AR118</f>
        <v>2379769.33737511</v>
      </c>
      <c r="AU118" s="775"/>
      <c r="AV118" s="775"/>
      <c r="AW118" s="775"/>
      <c r="AX118" s="757"/>
      <c r="AY118" s="775"/>
      <c r="AZ118" s="775"/>
      <c r="BA118" s="775"/>
      <c r="BB118" s="757"/>
      <c r="BC118" s="775"/>
      <c r="BD118" s="775"/>
      <c r="BE118" s="775"/>
      <c r="BF118" s="757"/>
      <c r="BG118" s="775"/>
      <c r="BH118" s="775"/>
      <c r="BI118" s="775"/>
      <c r="BJ118" s="757"/>
      <c r="BK118" s="775"/>
      <c r="BL118" s="775"/>
      <c r="BM118" s="775"/>
      <c r="BN118" s="757"/>
      <c r="BO118" s="775"/>
      <c r="BP118" s="775"/>
      <c r="BQ118" s="775"/>
      <c r="BR118" s="757"/>
      <c r="BS118" s="661">
        <f>+BS117</f>
        <v>83108.863636363909</v>
      </c>
      <c r="BT118" s="630">
        <f>+BT117</f>
        <v>8310.886363636364</v>
      </c>
      <c r="BU118" s="630">
        <f t="shared" si="82"/>
        <v>74797.977272727541</v>
      </c>
      <c r="BV118" s="662">
        <f>+BS$29*BU118+BT118</f>
        <v>22242.76859755905</v>
      </c>
      <c r="BW118" s="661">
        <f>+BW117</f>
        <v>5912622.5795454709</v>
      </c>
      <c r="BX118" s="630">
        <f>+BX117</f>
        <v>576841.22727272729</v>
      </c>
      <c r="BY118" s="630">
        <f t="shared" si="84"/>
        <v>5335781.3522727434</v>
      </c>
      <c r="BZ118" s="662">
        <f>+BW$29*BY118+BX118</f>
        <v>1528245.90008377</v>
      </c>
      <c r="CA118" s="661">
        <f>+CA117</f>
        <v>557947.68000000133</v>
      </c>
      <c r="CB118" s="630">
        <f>+CB117</f>
        <v>54433.919999999998</v>
      </c>
      <c r="CC118" s="630">
        <f t="shared" si="85"/>
        <v>503513.76000000135</v>
      </c>
      <c r="CD118" s="662">
        <f>+CA$29*CC118+CB118</f>
        <v>148218.46689893556</v>
      </c>
      <c r="CE118" s="661">
        <f>+CE117</f>
        <v>48431.548181818391</v>
      </c>
      <c r="CF118" s="630">
        <f>+CF117</f>
        <v>4725.0290909090909</v>
      </c>
      <c r="CG118" s="630">
        <f t="shared" si="86"/>
        <v>43706.5190909093</v>
      </c>
      <c r="CH118" s="662">
        <f>+CE$29*CG118+CF118</f>
        <v>12865.811756849727</v>
      </c>
      <c r="CI118" s="661">
        <f>+CI117</f>
        <v>139080.68181818147</v>
      </c>
      <c r="CJ118" s="630">
        <f>+CJ117</f>
        <v>12362.727272727272</v>
      </c>
      <c r="CK118" s="630">
        <f t="shared" si="87"/>
        <v>126717.95454545421</v>
      </c>
      <c r="CL118" s="662">
        <f>+CI$29*CK118+CJ118</f>
        <v>34957.366393809447</v>
      </c>
      <c r="CM118" s="661">
        <f>+CM117</f>
        <v>7376297.6451704651</v>
      </c>
      <c r="CN118" s="630">
        <f>+CN117</f>
        <v>483691.64886363636</v>
      </c>
      <c r="CO118" s="630">
        <f t="shared" si="88"/>
        <v>6892605.9963068292</v>
      </c>
      <c r="CP118" s="662">
        <f>+CM$29*CO118+CN118</f>
        <v>1712688.3261616176</v>
      </c>
      <c r="CQ118" s="661">
        <f>+CQ117</f>
        <v>31779341.438011374</v>
      </c>
      <c r="CR118" s="630">
        <f>+CR117</f>
        <v>2017735.9643181816</v>
      </c>
      <c r="CS118" s="630">
        <f t="shared" si="89"/>
        <v>29761605.473693192</v>
      </c>
      <c r="CT118" s="662">
        <f>+CQ$29*CS118+CR118</f>
        <v>7324424.6474985136</v>
      </c>
      <c r="CU118" s="661">
        <f>+CU117</f>
        <v>10819125.960000021</v>
      </c>
      <c r="CV118" s="630">
        <f>+CV117</f>
        <v>676195.37250000006</v>
      </c>
      <c r="CW118" s="630">
        <f t="shared" si="90"/>
        <v>10142930.587500021</v>
      </c>
      <c r="CX118" s="662">
        <f>+CU$29*CW118+CV118</f>
        <v>2484746.1581942458</v>
      </c>
      <c r="CY118" s="782">
        <f t="shared" si="91"/>
        <v>10339551.761224743</v>
      </c>
      <c r="CZ118" s="779">
        <f>+CY118</f>
        <v>10339551.761224743</v>
      </c>
      <c r="DA118" s="752"/>
      <c r="DD118" s="661"/>
      <c r="DE118" s="630"/>
      <c r="DF118" s="630"/>
      <c r="DG118" s="662"/>
      <c r="DH118" s="661"/>
      <c r="DI118" s="630"/>
      <c r="DJ118" s="630"/>
      <c r="DK118" s="662"/>
      <c r="DL118" s="661"/>
      <c r="DM118" s="630"/>
      <c r="DN118" s="630"/>
      <c r="DO118" s="662"/>
      <c r="DP118" s="661"/>
      <c r="DQ118" s="630"/>
      <c r="DR118" s="630"/>
      <c r="DS118" s="662"/>
      <c r="DT118" s="661"/>
      <c r="DU118" s="630"/>
      <c r="DV118" s="630"/>
      <c r="DW118" s="662"/>
      <c r="DX118" s="661"/>
      <c r="DY118" s="630"/>
      <c r="DZ118" s="630"/>
      <c r="EA118" s="662"/>
      <c r="EB118" s="661"/>
      <c r="EC118" s="630"/>
      <c r="ED118" s="630"/>
      <c r="EE118" s="662"/>
      <c r="EF118" s="661"/>
      <c r="EG118" s="630"/>
      <c r="EH118" s="630"/>
      <c r="EI118" s="662"/>
      <c r="EJ118" s="661"/>
      <c r="EK118" s="630"/>
      <c r="EL118" s="630"/>
      <c r="EM118" s="662"/>
      <c r="EN118" s="661"/>
      <c r="EO118" s="630"/>
      <c r="EP118" s="630"/>
      <c r="EQ118" s="662"/>
      <c r="ER118" s="661"/>
      <c r="ES118" s="630"/>
      <c r="ET118" s="630"/>
      <c r="EU118" s="662"/>
      <c r="EW118" s="661"/>
      <c r="EX118" s="630"/>
      <c r="EY118" s="630"/>
      <c r="EZ118" s="662"/>
      <c r="FA118" s="661"/>
      <c r="FB118" s="630"/>
      <c r="FC118" s="630"/>
      <c r="FD118" s="662"/>
    </row>
    <row r="119" spans="1:160">
      <c r="A119" s="753" t="s">
        <v>24</v>
      </c>
      <c r="B119" s="774">
        <v>2046</v>
      </c>
      <c r="C119" s="775">
        <f>+E118</f>
        <v>3009095.892613627</v>
      </c>
      <c r="D119" s="775">
        <f>+C$31</f>
        <v>445791.98409090913</v>
      </c>
      <c r="E119" s="775">
        <f t="shared" si="72"/>
        <v>2563303.9085227177</v>
      </c>
      <c r="F119" s="757">
        <f>+C$28*E119+D119</f>
        <v>902845.8165843559</v>
      </c>
      <c r="G119" s="775">
        <f>+I118</f>
        <v>752964.87204545271</v>
      </c>
      <c r="H119" s="775">
        <f>+G$31</f>
        <v>115840.74954545456</v>
      </c>
      <c r="I119" s="775">
        <f t="shared" si="73"/>
        <v>637124.12249999819</v>
      </c>
      <c r="J119" s="757">
        <f>+G$28*I119+H119</f>
        <v>229444.14280461468</v>
      </c>
      <c r="K119" s="776">
        <f>+M118</f>
        <v>1756163.6265340876</v>
      </c>
      <c r="L119" s="775">
        <f>+K$31</f>
        <v>305419.76113636367</v>
      </c>
      <c r="M119" s="775">
        <f t="shared" si="74"/>
        <v>1450743.8653977239</v>
      </c>
      <c r="N119" s="757">
        <f>+K$28*M119+L119</f>
        <v>564096.8697857731</v>
      </c>
      <c r="O119" s="776">
        <f>+Q118</f>
        <v>934644.49242423894</v>
      </c>
      <c r="P119" s="775">
        <f>+O$31</f>
        <v>119316.31818181818</v>
      </c>
      <c r="Q119" s="775">
        <f t="shared" si="75"/>
        <v>815328.17424242082</v>
      </c>
      <c r="R119" s="757">
        <f>+O$28*Q119+P119</f>
        <v>264694.65804170165</v>
      </c>
      <c r="S119" s="661">
        <f>+U118</f>
        <v>359613.51696969382</v>
      </c>
      <c r="T119" s="630">
        <f>+S$31</f>
        <v>58315.705454545445</v>
      </c>
      <c r="U119" s="630">
        <f t="shared" si="76"/>
        <v>301297.81151514838</v>
      </c>
      <c r="V119" s="662">
        <f>+S$28*U119+T119</f>
        <v>112039.07357216024</v>
      </c>
      <c r="W119" s="661">
        <f>+Y118</f>
        <v>5430799.9734848589</v>
      </c>
      <c r="X119" s="630">
        <f>+W$31</f>
        <v>693293.61363636365</v>
      </c>
      <c r="Y119" s="630">
        <f t="shared" si="77"/>
        <v>4737506.3598484956</v>
      </c>
      <c r="Z119" s="662">
        <f>+W$28*Y119+X119</f>
        <v>1538021.9468751389</v>
      </c>
      <c r="AA119" s="661">
        <f>+AC118</f>
        <v>3569096.9223484825</v>
      </c>
      <c r="AB119" s="630">
        <f>+AA$31</f>
        <v>450833.29545454547</v>
      </c>
      <c r="AC119" s="630">
        <f t="shared" si="78"/>
        <v>3118263.6268939371</v>
      </c>
      <c r="AD119" s="662">
        <f>+AA$28*AC119+AB119</f>
        <v>1006840.0711857027</v>
      </c>
      <c r="AE119" s="661">
        <f>+AG118</f>
        <v>34484.147727272793</v>
      </c>
      <c r="AF119" s="630">
        <f>+AE$31</f>
        <v>4597.886363636364</v>
      </c>
      <c r="AG119" s="630">
        <f t="shared" si="79"/>
        <v>29886.261363636429</v>
      </c>
      <c r="AH119" s="662">
        <f>+AE$28*AG119+AF119</f>
        <v>9926.8020063481054</v>
      </c>
      <c r="AI119" s="661">
        <f>+AK118</f>
        <v>2610668.9810606111</v>
      </c>
      <c r="AJ119" s="630">
        <f>+AI$31</f>
        <v>295547.43181818182</v>
      </c>
      <c r="AK119" s="630">
        <f t="shared" si="83"/>
        <v>2315121.5492424294</v>
      </c>
      <c r="AL119" s="662">
        <f>+AI$28*AK119+AJ119</f>
        <v>708348.72832119488</v>
      </c>
      <c r="AM119" s="661">
        <f>+AO118</f>
        <v>942368.78329545481</v>
      </c>
      <c r="AN119" s="630">
        <f>+AM$31</f>
        <v>110866.91568181818</v>
      </c>
      <c r="AO119" s="630">
        <f t="shared" si="80"/>
        <v>831501.86761363666</v>
      </c>
      <c r="AP119" s="662">
        <f>+AM$28*AO119+AN119</f>
        <v>259129.13072962203</v>
      </c>
      <c r="AQ119" s="661">
        <f>+AS118</f>
        <v>7918157.0761363646</v>
      </c>
      <c r="AR119" s="630">
        <f>+AQ$31</f>
        <v>904932.23727272719</v>
      </c>
      <c r="AS119" s="630">
        <f t="shared" si="81"/>
        <v>7013224.8388636373</v>
      </c>
      <c r="AT119" s="662">
        <f>+AQ$28*AS119+AR119</f>
        <v>2155436.0421798122</v>
      </c>
      <c r="AU119" s="775"/>
      <c r="AV119" s="775"/>
      <c r="AW119" s="775"/>
      <c r="AX119" s="757"/>
      <c r="AY119" s="775"/>
      <c r="AZ119" s="775"/>
      <c r="BA119" s="775"/>
      <c r="BB119" s="757"/>
      <c r="BC119" s="775"/>
      <c r="BD119" s="775"/>
      <c r="BE119" s="775"/>
      <c r="BF119" s="757"/>
      <c r="BG119" s="775"/>
      <c r="BH119" s="775"/>
      <c r="BI119" s="775"/>
      <c r="BJ119" s="757"/>
      <c r="BK119" s="775"/>
      <c r="BL119" s="775"/>
      <c r="BM119" s="775"/>
      <c r="BN119" s="757"/>
      <c r="BO119" s="775"/>
      <c r="BP119" s="775"/>
      <c r="BQ119" s="775"/>
      <c r="BR119" s="757"/>
      <c r="BS119" s="661">
        <f>+BU118</f>
        <v>74797.977272727541</v>
      </c>
      <c r="BT119" s="630">
        <f>+BS$31</f>
        <v>8310.886363636364</v>
      </c>
      <c r="BU119" s="630">
        <f t="shared" si="82"/>
        <v>66487.090909091174</v>
      </c>
      <c r="BV119" s="662">
        <f>+BS$28*BU119+BT119</f>
        <v>20165.969020945475</v>
      </c>
      <c r="BW119" s="661">
        <f>+BY118</f>
        <v>5335781.3522727434</v>
      </c>
      <c r="BX119" s="630">
        <f>+BW$31</f>
        <v>576841.22727272729</v>
      </c>
      <c r="BY119" s="630">
        <f t="shared" si="84"/>
        <v>4758940.1250000158</v>
      </c>
      <c r="BZ119" s="662">
        <f>+BW$28*BY119+BX119</f>
        <v>1425391.340860955</v>
      </c>
      <c r="CA119" s="661">
        <f>+CC118</f>
        <v>503513.76000000135</v>
      </c>
      <c r="CB119" s="630">
        <f>+CA$31</f>
        <v>54433.919999999998</v>
      </c>
      <c r="CC119" s="630">
        <f t="shared" si="85"/>
        <v>449079.84000000136</v>
      </c>
      <c r="CD119" s="662">
        <f>+CA$28*CC119+CB119</f>
        <v>134507.78922990191</v>
      </c>
      <c r="CE119" s="661">
        <f>+CG118</f>
        <v>43706.5190909093</v>
      </c>
      <c r="CF119" s="630">
        <f>+CE$31</f>
        <v>4725.0290909090909</v>
      </c>
      <c r="CG119" s="630">
        <f t="shared" si="86"/>
        <v>38981.490000000209</v>
      </c>
      <c r="CH119" s="662">
        <f>+CE$28*CG119+CF119</f>
        <v>11675.683416978896</v>
      </c>
      <c r="CI119" s="661">
        <f>+CK118</f>
        <v>126717.95454545421</v>
      </c>
      <c r="CJ119" s="630">
        <f>+CI$31</f>
        <v>12362.727272727272</v>
      </c>
      <c r="CK119" s="630">
        <f t="shared" si="87"/>
        <v>114355.22727272694</v>
      </c>
      <c r="CL119" s="662">
        <f>+CI$28*CK119+CJ119</f>
        <v>32753.011357606301</v>
      </c>
      <c r="CM119" s="661">
        <f>+CO118</f>
        <v>6892605.9963068292</v>
      </c>
      <c r="CN119" s="630">
        <f>+CM$31</f>
        <v>483691.64886363636</v>
      </c>
      <c r="CO119" s="630">
        <f t="shared" si="88"/>
        <v>6408914.3474431932</v>
      </c>
      <c r="CP119" s="662">
        <f>+CM$28*CO119+CN119</f>
        <v>1626442.9452986016</v>
      </c>
      <c r="CQ119" s="661">
        <f>+CS118</f>
        <v>29761605.473693192</v>
      </c>
      <c r="CR119" s="630">
        <f>+CQ$31</f>
        <v>2017735.9643181816</v>
      </c>
      <c r="CS119" s="630">
        <f t="shared" si="89"/>
        <v>27743869.50937501</v>
      </c>
      <c r="CT119" s="662">
        <f>+CQ$28*CS119+CR119</f>
        <v>6964649.143554084</v>
      </c>
      <c r="CU119" s="661">
        <f>+CW118</f>
        <v>10142930.587500021</v>
      </c>
      <c r="CV119" s="630">
        <f>+CU$31</f>
        <v>676195.37250000006</v>
      </c>
      <c r="CW119" s="630">
        <f t="shared" si="90"/>
        <v>9466735.2150000203</v>
      </c>
      <c r="CX119" s="662">
        <f>+CU$28*CW119+CV119</f>
        <v>2364176.1058146297</v>
      </c>
      <c r="CY119" s="782">
        <f t="shared" si="91"/>
        <v>9375317.0759728104</v>
      </c>
      <c r="CZ119" s="756"/>
      <c r="DA119" s="778">
        <f>+CY119</f>
        <v>9375317.0759728104</v>
      </c>
      <c r="DD119" s="661"/>
      <c r="DE119" s="630"/>
      <c r="DF119" s="630"/>
      <c r="DG119" s="662"/>
      <c r="DH119" s="661"/>
      <c r="DI119" s="630"/>
      <c r="DJ119" s="630"/>
      <c r="DK119" s="662"/>
      <c r="DL119" s="661"/>
      <c r="DM119" s="630"/>
      <c r="DN119" s="630"/>
      <c r="DO119" s="662"/>
      <c r="DP119" s="661"/>
      <c r="DQ119" s="630"/>
      <c r="DR119" s="630"/>
      <c r="DS119" s="662"/>
      <c r="DT119" s="661"/>
      <c r="DU119" s="630"/>
      <c r="DV119" s="630"/>
      <c r="DW119" s="662"/>
      <c r="DX119" s="661"/>
      <c r="DY119" s="630"/>
      <c r="DZ119" s="630"/>
      <c r="EA119" s="662"/>
      <c r="EB119" s="661"/>
      <c r="EC119" s="630"/>
      <c r="ED119" s="630"/>
      <c r="EE119" s="662"/>
      <c r="EF119" s="661"/>
      <c r="EG119" s="630"/>
      <c r="EH119" s="630"/>
      <c r="EI119" s="662"/>
      <c r="EJ119" s="661"/>
      <c r="EK119" s="630"/>
      <c r="EL119" s="630"/>
      <c r="EM119" s="662"/>
      <c r="EN119" s="661"/>
      <c r="EO119" s="630"/>
      <c r="EP119" s="630"/>
      <c r="EQ119" s="662"/>
      <c r="ER119" s="661"/>
      <c r="ES119" s="630"/>
      <c r="ET119" s="630"/>
      <c r="EU119" s="662"/>
      <c r="EW119" s="661"/>
      <c r="EX119" s="630"/>
      <c r="EY119" s="630"/>
      <c r="EZ119" s="662"/>
      <c r="FA119" s="661"/>
      <c r="FB119" s="630"/>
      <c r="FC119" s="630"/>
      <c r="FD119" s="662"/>
    </row>
    <row r="120" spans="1:160">
      <c r="A120" s="753" t="s">
        <v>23</v>
      </c>
      <c r="B120" s="774">
        <v>2046</v>
      </c>
      <c r="C120" s="775">
        <f>+C119</f>
        <v>3009095.892613627</v>
      </c>
      <c r="D120" s="775">
        <f>+D119</f>
        <v>445791.98409090913</v>
      </c>
      <c r="E120" s="775">
        <f t="shared" si="72"/>
        <v>2563303.9085227177</v>
      </c>
      <c r="F120" s="757">
        <f>+C$29*E120+D120</f>
        <v>923233.34661707515</v>
      </c>
      <c r="G120" s="775">
        <f>+G119</f>
        <v>752964.87204545271</v>
      </c>
      <c r="H120" s="775">
        <f>+H119</f>
        <v>115840.74954545456</v>
      </c>
      <c r="I120" s="775">
        <f t="shared" si="73"/>
        <v>637124.12249999819</v>
      </c>
      <c r="J120" s="757">
        <f>+G$29*I120+H120</f>
        <v>234511.58218971849</v>
      </c>
      <c r="K120" s="776">
        <f>+K119</f>
        <v>1756163.6265340876</v>
      </c>
      <c r="L120" s="775">
        <f>+L119</f>
        <v>305419.76113636367</v>
      </c>
      <c r="M120" s="775">
        <f t="shared" si="74"/>
        <v>1450743.8653977239</v>
      </c>
      <c r="N120" s="757">
        <f>+K$29*M120+L120</f>
        <v>575635.52660568373</v>
      </c>
      <c r="O120" s="776">
        <f>+O119</f>
        <v>934644.49242423894</v>
      </c>
      <c r="P120" s="775">
        <f>+P119</f>
        <v>119316.31818181818</v>
      </c>
      <c r="Q120" s="775">
        <f t="shared" si="75"/>
        <v>815328.17424242082</v>
      </c>
      <c r="R120" s="757">
        <f>+O$29*Q120+P120</f>
        <v>271179.46368008933</v>
      </c>
      <c r="S120" s="661">
        <f>+S119</f>
        <v>359613.51696969382</v>
      </c>
      <c r="T120" s="630">
        <f>+T119</f>
        <v>58315.705454545445</v>
      </c>
      <c r="U120" s="630">
        <f t="shared" si="76"/>
        <v>301297.81151514838</v>
      </c>
      <c r="V120" s="662">
        <f>+S$29*U120+T120</f>
        <v>114435.48008511165</v>
      </c>
      <c r="W120" s="661">
        <f>+W119</f>
        <v>5430799.9734848589</v>
      </c>
      <c r="X120" s="630">
        <f>+X119</f>
        <v>693293.61363636365</v>
      </c>
      <c r="Y120" s="630">
        <f t="shared" si="77"/>
        <v>4737506.3598484956</v>
      </c>
      <c r="Z120" s="662">
        <f>+W$29*Y120+X120</f>
        <v>1575702.2441159268</v>
      </c>
      <c r="AA120" s="661">
        <f>+AA119</f>
        <v>3569096.9223484825</v>
      </c>
      <c r="AB120" s="630">
        <f>+AB119</f>
        <v>450833.29545454547</v>
      </c>
      <c r="AC120" s="630">
        <f t="shared" si="78"/>
        <v>3118263.6268939371</v>
      </c>
      <c r="AD120" s="662">
        <f>+AA$29*AC120+AB120</f>
        <v>1031641.5366427873</v>
      </c>
      <c r="AE120" s="661">
        <f>+AE119</f>
        <v>34484.147727272793</v>
      </c>
      <c r="AF120" s="630">
        <f>+AF119</f>
        <v>4597.886363636364</v>
      </c>
      <c r="AG120" s="630">
        <f t="shared" si="79"/>
        <v>29886.261363636429</v>
      </c>
      <c r="AH120" s="662">
        <f>+AE$29*AG120+AF120</f>
        <v>10164.505795232035</v>
      </c>
      <c r="AI120" s="661">
        <f>+AI119</f>
        <v>2610668.9810606111</v>
      </c>
      <c r="AJ120" s="630">
        <f>+AJ119</f>
        <v>295547.43181818182</v>
      </c>
      <c r="AK120" s="630">
        <f t="shared" si="83"/>
        <v>2315121.5492424294</v>
      </c>
      <c r="AL120" s="662">
        <f>+AI$29*AK120+AJ120</f>
        <v>726762.31164919643</v>
      </c>
      <c r="AM120" s="661">
        <f>+AM119</f>
        <v>942368.78329545481</v>
      </c>
      <c r="AN120" s="630">
        <f>+AN119</f>
        <v>110866.91568181818</v>
      </c>
      <c r="AO120" s="630">
        <f t="shared" si="80"/>
        <v>831501.86761363666</v>
      </c>
      <c r="AP120" s="662">
        <f>+AM$29*AO120+AN120</f>
        <v>265742.57568317221</v>
      </c>
      <c r="AQ120" s="661">
        <f>+AQ119</f>
        <v>7918157.0761363646</v>
      </c>
      <c r="AR120" s="630">
        <f>+AR119</f>
        <v>904932.23727272719</v>
      </c>
      <c r="AS120" s="630">
        <f t="shared" si="81"/>
        <v>7013224.8388636373</v>
      </c>
      <c r="AT120" s="662">
        <f>+AQ$29*AS120+AR120</f>
        <v>2211216.5259348378</v>
      </c>
      <c r="AU120" s="775"/>
      <c r="AV120" s="775"/>
      <c r="AW120" s="775"/>
      <c r="AX120" s="757"/>
      <c r="AY120" s="775"/>
      <c r="AZ120" s="775"/>
      <c r="BA120" s="775"/>
      <c r="BB120" s="757"/>
      <c r="BC120" s="775"/>
      <c r="BD120" s="775"/>
      <c r="BE120" s="775"/>
      <c r="BF120" s="757"/>
      <c r="BG120" s="775"/>
      <c r="BH120" s="775"/>
      <c r="BI120" s="775"/>
      <c r="BJ120" s="757"/>
      <c r="BK120" s="775"/>
      <c r="BL120" s="775"/>
      <c r="BM120" s="775"/>
      <c r="BN120" s="757"/>
      <c r="BO120" s="775"/>
      <c r="BP120" s="775"/>
      <c r="BQ120" s="775"/>
      <c r="BR120" s="757"/>
      <c r="BS120" s="661">
        <f>+BS119</f>
        <v>74797.977272727541</v>
      </c>
      <c r="BT120" s="630">
        <f>+BT119</f>
        <v>8310.886363636364</v>
      </c>
      <c r="BU120" s="630">
        <f t="shared" si="82"/>
        <v>66487.090909091174</v>
      </c>
      <c r="BV120" s="662">
        <f>+BS$29*BU120+BT120</f>
        <v>20694.781682678757</v>
      </c>
      <c r="BW120" s="661">
        <f>+BW119</f>
        <v>5335781.3522727434</v>
      </c>
      <c r="BX120" s="630">
        <f>+BX119</f>
        <v>576841.22727272729</v>
      </c>
      <c r="BY120" s="630">
        <f t="shared" si="84"/>
        <v>4758940.1250000158</v>
      </c>
      <c r="BZ120" s="662">
        <f>+BW$29*BY120+BX120</f>
        <v>1425391.340860955</v>
      </c>
      <c r="CA120" s="661">
        <f>+CA119</f>
        <v>503513.76000000135</v>
      </c>
      <c r="CB120" s="630">
        <f>+CB119</f>
        <v>54433.919999999998</v>
      </c>
      <c r="CC120" s="630">
        <f t="shared" si="85"/>
        <v>449079.84000000136</v>
      </c>
      <c r="CD120" s="662">
        <f>+CA$29*CC120+CB120</f>
        <v>138079.59696391551</v>
      </c>
      <c r="CE120" s="661">
        <f>+CE119</f>
        <v>43706.5190909093</v>
      </c>
      <c r="CF120" s="630">
        <f>+CF119</f>
        <v>4725.0290909090909</v>
      </c>
      <c r="CG120" s="630">
        <f t="shared" si="86"/>
        <v>38981.490000000209</v>
      </c>
      <c r="CH120" s="662">
        <f>+CE$29*CG120+CF120</f>
        <v>11985.72714431561</v>
      </c>
      <c r="CI120" s="661">
        <f>+CI119</f>
        <v>126717.95454545421</v>
      </c>
      <c r="CJ120" s="630">
        <f>+CJ119</f>
        <v>12362.727272727272</v>
      </c>
      <c r="CK120" s="630">
        <f t="shared" si="87"/>
        <v>114355.22727272694</v>
      </c>
      <c r="CL120" s="662">
        <f>+CI$29*CK120+CJ120</f>
        <v>32753.011357606301</v>
      </c>
      <c r="CM120" s="661">
        <f>+CM119</f>
        <v>6892605.9963068292</v>
      </c>
      <c r="CN120" s="630">
        <f>+CN119</f>
        <v>483691.64886363636</v>
      </c>
      <c r="CO120" s="630">
        <f t="shared" si="88"/>
        <v>6408914.3474431932</v>
      </c>
      <c r="CP120" s="662">
        <f>+CM$29*CO120+CN120</f>
        <v>1626442.9452986016</v>
      </c>
      <c r="CQ120" s="661">
        <f>+CQ119</f>
        <v>29761605.473693192</v>
      </c>
      <c r="CR120" s="630">
        <f>+CR119</f>
        <v>2017735.9643181816</v>
      </c>
      <c r="CS120" s="630">
        <f t="shared" si="89"/>
        <v>27743869.50937501</v>
      </c>
      <c r="CT120" s="662">
        <f>+CQ$29*CS120+CR120</f>
        <v>6964649.143554084</v>
      </c>
      <c r="CU120" s="661">
        <f>+CU119</f>
        <v>10142930.587500021</v>
      </c>
      <c r="CV120" s="630">
        <f>+CV119</f>
        <v>676195.37250000006</v>
      </c>
      <c r="CW120" s="630">
        <f t="shared" si="90"/>
        <v>9466735.2150000203</v>
      </c>
      <c r="CX120" s="662">
        <f>+CU$29*CW120+CV120</f>
        <v>2364176.1058146297</v>
      </c>
      <c r="CY120" s="782">
        <f t="shared" si="91"/>
        <v>9569129.5570083018</v>
      </c>
      <c r="CZ120" s="779">
        <f>+CY120</f>
        <v>9569129.5570083018</v>
      </c>
      <c r="DA120" s="752"/>
      <c r="DD120" s="661"/>
      <c r="DE120" s="630"/>
      <c r="DF120" s="630"/>
      <c r="DG120" s="662"/>
      <c r="DH120" s="661"/>
      <c r="DI120" s="630"/>
      <c r="DJ120" s="630"/>
      <c r="DK120" s="662"/>
      <c r="DL120" s="661"/>
      <c r="DM120" s="630"/>
      <c r="DN120" s="630"/>
      <c r="DO120" s="662"/>
      <c r="DP120" s="661"/>
      <c r="DQ120" s="630"/>
      <c r="DR120" s="630"/>
      <c r="DS120" s="662"/>
      <c r="DT120" s="661"/>
      <c r="DU120" s="630"/>
      <c r="DV120" s="630"/>
      <c r="DW120" s="662"/>
      <c r="DX120" s="661"/>
      <c r="DY120" s="630"/>
      <c r="DZ120" s="630"/>
      <c r="EA120" s="662"/>
      <c r="EB120" s="661"/>
      <c r="EC120" s="630"/>
      <c r="ED120" s="630"/>
      <c r="EE120" s="662"/>
      <c r="EF120" s="661"/>
      <c r="EG120" s="630"/>
      <c r="EH120" s="630"/>
      <c r="EI120" s="662"/>
      <c r="EJ120" s="661"/>
      <c r="EK120" s="630"/>
      <c r="EL120" s="630"/>
      <c r="EM120" s="662"/>
      <c r="EN120" s="661"/>
      <c r="EO120" s="630"/>
      <c r="EP120" s="630"/>
      <c r="EQ120" s="662"/>
      <c r="ER120" s="661"/>
      <c r="ES120" s="630"/>
      <c r="ET120" s="630"/>
      <c r="EU120" s="662"/>
      <c r="EW120" s="661"/>
      <c r="EX120" s="630"/>
      <c r="EY120" s="630"/>
      <c r="EZ120" s="662"/>
      <c r="FA120" s="661"/>
      <c r="FB120" s="630"/>
      <c r="FC120" s="630"/>
      <c r="FD120" s="662"/>
    </row>
    <row r="121" spans="1:160">
      <c r="A121" s="753" t="s">
        <v>24</v>
      </c>
      <c r="B121" s="774">
        <v>2047</v>
      </c>
      <c r="C121" s="775">
        <f>+E120</f>
        <v>2563303.9085227177</v>
      </c>
      <c r="D121" s="775">
        <f>+C$31</f>
        <v>445791.98409090913</v>
      </c>
      <c r="E121" s="775">
        <f t="shared" si="72"/>
        <v>2117511.9244318083</v>
      </c>
      <c r="F121" s="757">
        <f>+C$28*E121+D121</f>
        <v>823358.19354201702</v>
      </c>
      <c r="G121" s="775">
        <f>+I120</f>
        <v>637124.12249999819</v>
      </c>
      <c r="H121" s="775">
        <f>+G$31</f>
        <v>115840.74954545456</v>
      </c>
      <c r="I121" s="775">
        <f t="shared" si="73"/>
        <v>521283.37295454362</v>
      </c>
      <c r="J121" s="757">
        <f>+G$28*I121+H121</f>
        <v>208788.98039385822</v>
      </c>
      <c r="K121" s="776">
        <f>+M120</f>
        <v>1450743.8653977239</v>
      </c>
      <c r="L121" s="775">
        <f>+K$31</f>
        <v>305419.76113636367</v>
      </c>
      <c r="M121" s="775">
        <f t="shared" si="74"/>
        <v>1145324.1042613601</v>
      </c>
      <c r="N121" s="757">
        <f>+K$28*M121+L121</f>
        <v>509638.53112273937</v>
      </c>
      <c r="O121" s="776">
        <f>+Q120</f>
        <v>815328.17424242082</v>
      </c>
      <c r="P121" s="775">
        <f>+O$31</f>
        <v>119316.31818181818</v>
      </c>
      <c r="Q121" s="775">
        <f t="shared" si="75"/>
        <v>696011.8560606027</v>
      </c>
      <c r="R121" s="757">
        <f>+O$28*Q121+P121</f>
        <v>243419.77903781616</v>
      </c>
      <c r="S121" s="661">
        <f>+U120</f>
        <v>301297.81151514838</v>
      </c>
      <c r="T121" s="630">
        <f>+S$31</f>
        <v>58315.705454545445</v>
      </c>
      <c r="U121" s="630">
        <f t="shared" si="76"/>
        <v>242982.10606060294</v>
      </c>
      <c r="V121" s="662">
        <f>+S$28*U121+T121</f>
        <v>101641.00232358952</v>
      </c>
      <c r="W121" s="661">
        <f>+Y120</f>
        <v>4737506.3598484956</v>
      </c>
      <c r="X121" s="630">
        <f>+W$31</f>
        <v>693293.61363636365</v>
      </c>
      <c r="Y121" s="630">
        <f t="shared" si="77"/>
        <v>4044212.7462121318</v>
      </c>
      <c r="Z121" s="662">
        <f>+W$28*Y121+X121</f>
        <v>1414403.1664011721</v>
      </c>
      <c r="AA121" s="661">
        <f>+AC120</f>
        <v>3118263.6268939371</v>
      </c>
      <c r="AB121" s="630">
        <f>+AA$31</f>
        <v>450833.29545454547</v>
      </c>
      <c r="AC121" s="630">
        <f t="shared" si="78"/>
        <v>2667430.3314393917</v>
      </c>
      <c r="AD121" s="662">
        <f>+AA$28*AC121+AB121</f>
        <v>926453.54939324618</v>
      </c>
      <c r="AE121" s="661">
        <f>+AG120</f>
        <v>29886.261363636429</v>
      </c>
      <c r="AF121" s="630">
        <f>+AE$31</f>
        <v>4597.886363636364</v>
      </c>
      <c r="AG121" s="630">
        <f t="shared" si="79"/>
        <v>25288.375000000065</v>
      </c>
      <c r="AH121" s="662">
        <f>+AE$28*AG121+AF121</f>
        <v>9106.9688305463005</v>
      </c>
      <c r="AI121" s="661">
        <f>+AK120</f>
        <v>2315121.5492424294</v>
      </c>
      <c r="AJ121" s="630">
        <f>+AI$31</f>
        <v>295547.43181818182</v>
      </c>
      <c r="AK121" s="630">
        <f t="shared" si="83"/>
        <v>2019574.1174242476</v>
      </c>
      <c r="AL121" s="662">
        <f>+AI$28*AK121+AJ121</f>
        <v>655650.69046974648</v>
      </c>
      <c r="AM121" s="661">
        <f>+AO120</f>
        <v>831501.86761363666</v>
      </c>
      <c r="AN121" s="630">
        <f>+AM$31</f>
        <v>110866.91568181818</v>
      </c>
      <c r="AO121" s="630">
        <f t="shared" si="80"/>
        <v>720634.9519318185</v>
      </c>
      <c r="AP121" s="662">
        <f>+AM$28*AO121+AN121</f>
        <v>239360.83538991486</v>
      </c>
      <c r="AQ121" s="661">
        <f>+AS120</f>
        <v>7013224.8388636373</v>
      </c>
      <c r="AR121" s="630">
        <f>+AQ$31</f>
        <v>904932.23727272719</v>
      </c>
      <c r="AS121" s="630">
        <f t="shared" si="81"/>
        <v>6108292.60159091</v>
      </c>
      <c r="AT121" s="662">
        <f>+AQ$28*AS121+AR121</f>
        <v>1994080.7125143819</v>
      </c>
      <c r="AU121" s="775"/>
      <c r="AV121" s="775"/>
      <c r="AW121" s="775"/>
      <c r="AX121" s="757"/>
      <c r="AY121" s="775"/>
      <c r="AZ121" s="775"/>
      <c r="BA121" s="775"/>
      <c r="BB121" s="757"/>
      <c r="BC121" s="775"/>
      <c r="BD121" s="775"/>
      <c r="BE121" s="775"/>
      <c r="BF121" s="757"/>
      <c r="BG121" s="775"/>
      <c r="BH121" s="775"/>
      <c r="BI121" s="775"/>
      <c r="BJ121" s="757"/>
      <c r="BK121" s="775"/>
      <c r="BL121" s="775"/>
      <c r="BM121" s="775"/>
      <c r="BN121" s="757"/>
      <c r="BO121" s="775"/>
      <c r="BP121" s="775"/>
      <c r="BQ121" s="775"/>
      <c r="BR121" s="757"/>
      <c r="BS121" s="661">
        <f>+BU120</f>
        <v>66487.090909091174</v>
      </c>
      <c r="BT121" s="630">
        <f>+BS$31</f>
        <v>8310.886363636364</v>
      </c>
      <c r="BU121" s="630">
        <f t="shared" si="82"/>
        <v>58176.204545454806</v>
      </c>
      <c r="BV121" s="662">
        <f>+BS$28*BU121+BT121</f>
        <v>18684.08368878184</v>
      </c>
      <c r="BW121" s="661">
        <f>+BY120</f>
        <v>4758940.1250000158</v>
      </c>
      <c r="BX121" s="630">
        <f>+BW$31</f>
        <v>576841.22727272729</v>
      </c>
      <c r="BY121" s="630">
        <f t="shared" si="84"/>
        <v>4182098.8977272883</v>
      </c>
      <c r="BZ121" s="662">
        <f>+BW$28*BY121+BX121</f>
        <v>1322536.7816381399</v>
      </c>
      <c r="CA121" s="661">
        <f>+CC120</f>
        <v>449079.84000000136</v>
      </c>
      <c r="CB121" s="630">
        <f>+CA$31</f>
        <v>54433.919999999998</v>
      </c>
      <c r="CC121" s="630">
        <f t="shared" si="85"/>
        <v>394645.92000000138</v>
      </c>
      <c r="CD121" s="662">
        <f>+CA$28*CC121+CB121</f>
        <v>124801.86568688352</v>
      </c>
      <c r="CE121" s="661">
        <f>+CG120</f>
        <v>38981.490000000209</v>
      </c>
      <c r="CF121" s="630">
        <f>+CE$31</f>
        <v>4725.0290909090909</v>
      </c>
      <c r="CG121" s="630">
        <f t="shared" si="86"/>
        <v>34256.460909091118</v>
      </c>
      <c r="CH121" s="662">
        <f>+CE$28*CG121+CF121</f>
        <v>10833.179862303772</v>
      </c>
      <c r="CI121" s="661">
        <f>+CK120</f>
        <v>114355.22727272694</v>
      </c>
      <c r="CJ121" s="630">
        <f>+CI$31</f>
        <v>12362.727272727272</v>
      </c>
      <c r="CK121" s="630">
        <f t="shared" si="87"/>
        <v>101992.49999999968</v>
      </c>
      <c r="CL121" s="662">
        <f>+CI$28*CK121+CJ121</f>
        <v>30548.656321403159</v>
      </c>
      <c r="CM121" s="661">
        <f>+CO120</f>
        <v>6408914.3474431932</v>
      </c>
      <c r="CN121" s="630">
        <f>+CM$31</f>
        <v>483691.64886363636</v>
      </c>
      <c r="CO121" s="630">
        <f t="shared" si="88"/>
        <v>5925222.6985795572</v>
      </c>
      <c r="CP121" s="662">
        <f>+CM$28*CO121+CN121</f>
        <v>1540197.5644355856</v>
      </c>
      <c r="CQ121" s="661">
        <f>+CS120</f>
        <v>27743869.50937501</v>
      </c>
      <c r="CR121" s="630">
        <f>+CQ$31</f>
        <v>2017735.9643181816</v>
      </c>
      <c r="CS121" s="630">
        <f t="shared" si="89"/>
        <v>25726133.545056827</v>
      </c>
      <c r="CT121" s="662">
        <f>+CQ$28*CS121+CR121</f>
        <v>6604873.6396096544</v>
      </c>
      <c r="CU121" s="661">
        <f>+CW120</f>
        <v>9466735.2150000203</v>
      </c>
      <c r="CV121" s="630">
        <f>+CU$31</f>
        <v>676195.37250000006</v>
      </c>
      <c r="CW121" s="630">
        <f t="shared" si="90"/>
        <v>8790539.8425000198</v>
      </c>
      <c r="CX121" s="662">
        <f>+CU$28*CW121+CV121</f>
        <v>2243606.0534350136</v>
      </c>
      <c r="CY121" s="782">
        <f t="shared" si="91"/>
        <v>8633306.9766165391</v>
      </c>
      <c r="CZ121" s="756"/>
      <c r="DA121" s="778">
        <f>+CY121</f>
        <v>8633306.9766165391</v>
      </c>
      <c r="DD121" s="661"/>
      <c r="DE121" s="630"/>
      <c r="DF121" s="630"/>
      <c r="DG121" s="662"/>
      <c r="DH121" s="661"/>
      <c r="DI121" s="630"/>
      <c r="DJ121" s="630"/>
      <c r="DK121" s="662"/>
      <c r="DL121" s="661"/>
      <c r="DM121" s="630"/>
      <c r="DN121" s="630"/>
      <c r="DO121" s="662"/>
      <c r="DP121" s="661"/>
      <c r="DQ121" s="630"/>
      <c r="DR121" s="630"/>
      <c r="DS121" s="662"/>
      <c r="DT121" s="661"/>
      <c r="DU121" s="630"/>
      <c r="DV121" s="630"/>
      <c r="DW121" s="662"/>
      <c r="DX121" s="661"/>
      <c r="DY121" s="630"/>
      <c r="DZ121" s="630"/>
      <c r="EA121" s="662"/>
      <c r="EB121" s="661"/>
      <c r="EC121" s="630"/>
      <c r="ED121" s="630"/>
      <c r="EE121" s="662"/>
      <c r="EF121" s="661"/>
      <c r="EG121" s="630"/>
      <c r="EH121" s="630"/>
      <c r="EI121" s="662"/>
      <c r="EJ121" s="661"/>
      <c r="EK121" s="630"/>
      <c r="EL121" s="630"/>
      <c r="EM121" s="662"/>
      <c r="EN121" s="661"/>
      <c r="EO121" s="630"/>
      <c r="EP121" s="630"/>
      <c r="EQ121" s="662"/>
      <c r="ER121" s="661"/>
      <c r="ES121" s="630"/>
      <c r="ET121" s="630"/>
      <c r="EU121" s="662"/>
      <c r="EW121" s="661"/>
      <c r="EX121" s="630"/>
      <c r="EY121" s="630"/>
      <c r="EZ121" s="662"/>
      <c r="FA121" s="661"/>
      <c r="FB121" s="630"/>
      <c r="FC121" s="630"/>
      <c r="FD121" s="662"/>
    </row>
    <row r="122" spans="1:160">
      <c r="A122" s="753" t="s">
        <v>23</v>
      </c>
      <c r="B122" s="774">
        <v>2047</v>
      </c>
      <c r="C122" s="775">
        <f>+C121</f>
        <v>2563303.9085227177</v>
      </c>
      <c r="D122" s="775">
        <f>+D121</f>
        <v>445791.98409090913</v>
      </c>
      <c r="E122" s="775">
        <f t="shared" si="72"/>
        <v>2117511.9244318083</v>
      </c>
      <c r="F122" s="757">
        <f>+C$29*E122+D122</f>
        <v>840200.06617774162</v>
      </c>
      <c r="G122" s="775">
        <f>+G121</f>
        <v>637124.12249999819</v>
      </c>
      <c r="H122" s="775">
        <f>+H121</f>
        <v>115840.74954545456</v>
      </c>
      <c r="I122" s="775">
        <f t="shared" si="73"/>
        <v>521283.37295454362</v>
      </c>
      <c r="J122" s="757">
        <f>+G$29*I122+H122</f>
        <v>212935.06716348859</v>
      </c>
      <c r="K122" s="776">
        <f>+K121</f>
        <v>1450743.8653977239</v>
      </c>
      <c r="L122" s="775">
        <f>+L121</f>
        <v>305419.76113636367</v>
      </c>
      <c r="M122" s="775">
        <f t="shared" si="74"/>
        <v>1145324.1042613601</v>
      </c>
      <c r="N122" s="757">
        <f>+K$29*M122+L122</f>
        <v>518747.9970331951</v>
      </c>
      <c r="O122" s="776">
        <f>+O121</f>
        <v>815328.17424242082</v>
      </c>
      <c r="P122" s="775">
        <f>+P121</f>
        <v>119316.31818181818</v>
      </c>
      <c r="Q122" s="775">
        <f t="shared" si="75"/>
        <v>696011.8560606027</v>
      </c>
      <c r="R122" s="757">
        <f>+O$29*Q122+P122</f>
        <v>248955.58872912277</v>
      </c>
      <c r="S122" s="661">
        <f>+S121</f>
        <v>301297.81151514838</v>
      </c>
      <c r="T122" s="630">
        <f>+T121</f>
        <v>58315.705454545445</v>
      </c>
      <c r="U122" s="630">
        <f t="shared" si="76"/>
        <v>242982.10606060294</v>
      </c>
      <c r="V122" s="662">
        <f>+S$29*U122+T122</f>
        <v>103573.58822113098</v>
      </c>
      <c r="W122" s="661">
        <f>+W121</f>
        <v>4737506.3598484956</v>
      </c>
      <c r="X122" s="630">
        <f>+X121</f>
        <v>693293.61363636365</v>
      </c>
      <c r="Y122" s="630">
        <f t="shared" si="77"/>
        <v>4044212.7462121318</v>
      </c>
      <c r="Z122" s="662">
        <f>+W$29*Y122+X122</f>
        <v>1446569.2738018446</v>
      </c>
      <c r="AA122" s="661">
        <f>+AA121</f>
        <v>3118263.6268939371</v>
      </c>
      <c r="AB122" s="630">
        <f>+AB121</f>
        <v>450833.29545454547</v>
      </c>
      <c r="AC122" s="630">
        <f t="shared" si="78"/>
        <v>2667430.3314393917</v>
      </c>
      <c r="AD122" s="662">
        <f>+AA$29*AC122+AB122</f>
        <v>947669.2608083426</v>
      </c>
      <c r="AE122" s="661">
        <f>+AE121</f>
        <v>29886.261363636429</v>
      </c>
      <c r="AF122" s="630">
        <f>+AF121</f>
        <v>4597.886363636364</v>
      </c>
      <c r="AG122" s="630">
        <f t="shared" si="79"/>
        <v>25288.375000000065</v>
      </c>
      <c r="AH122" s="662">
        <f>+AE$29*AG122+AF122</f>
        <v>9308.1028057557778</v>
      </c>
      <c r="AI122" s="661">
        <f>+AI121</f>
        <v>2315121.5492424294</v>
      </c>
      <c r="AJ122" s="630">
        <f>+AJ121</f>
        <v>295547.43181818182</v>
      </c>
      <c r="AK122" s="630">
        <f t="shared" si="83"/>
        <v>2019574.1174242476</v>
      </c>
      <c r="AL122" s="662">
        <f>+AI$29*AK122+AJ122</f>
        <v>671713.60358566279</v>
      </c>
      <c r="AM122" s="661">
        <f>+AM121</f>
        <v>831501.86761363666</v>
      </c>
      <c r="AN122" s="630">
        <f>+AN121</f>
        <v>110866.91568181818</v>
      </c>
      <c r="AO122" s="630">
        <f t="shared" si="80"/>
        <v>720634.9519318185</v>
      </c>
      <c r="AP122" s="662">
        <f>+AM$29*AO122+AN122</f>
        <v>245092.48768299172</v>
      </c>
      <c r="AQ122" s="661">
        <f>+AQ121</f>
        <v>7013224.8388636373</v>
      </c>
      <c r="AR122" s="630">
        <f>+AR121</f>
        <v>904932.23727272719</v>
      </c>
      <c r="AS122" s="630">
        <f t="shared" si="81"/>
        <v>6108292.60159091</v>
      </c>
      <c r="AT122" s="662">
        <f>+AQ$29*AS122+AR122</f>
        <v>2042663.7144945655</v>
      </c>
      <c r="AU122" s="775"/>
      <c r="AV122" s="775"/>
      <c r="AW122" s="775"/>
      <c r="AX122" s="757"/>
      <c r="AY122" s="775"/>
      <c r="AZ122" s="775"/>
      <c r="BA122" s="775"/>
      <c r="BB122" s="757"/>
      <c r="BC122" s="775"/>
      <c r="BD122" s="775"/>
      <c r="BE122" s="775"/>
      <c r="BF122" s="757"/>
      <c r="BG122" s="775"/>
      <c r="BH122" s="775"/>
      <c r="BI122" s="775"/>
      <c r="BJ122" s="757"/>
      <c r="BK122" s="775"/>
      <c r="BL122" s="775"/>
      <c r="BM122" s="775"/>
      <c r="BN122" s="757"/>
      <c r="BO122" s="775"/>
      <c r="BP122" s="775"/>
      <c r="BQ122" s="775"/>
      <c r="BR122" s="757"/>
      <c r="BS122" s="661">
        <f>+BS121</f>
        <v>66487.090909091174</v>
      </c>
      <c r="BT122" s="630">
        <f>+BT121</f>
        <v>8310.886363636364</v>
      </c>
      <c r="BU122" s="630">
        <f t="shared" si="82"/>
        <v>58176.204545454806</v>
      </c>
      <c r="BV122" s="662">
        <f>+BS$29*BU122+BT122</f>
        <v>19146.794767798463</v>
      </c>
      <c r="BW122" s="661">
        <f>+BW121</f>
        <v>4758940.1250000158</v>
      </c>
      <c r="BX122" s="630">
        <f>+BX121</f>
        <v>576841.22727272729</v>
      </c>
      <c r="BY122" s="630">
        <f t="shared" si="84"/>
        <v>4182098.8977272883</v>
      </c>
      <c r="BZ122" s="662">
        <f>+BW$29*BY122+BX122</f>
        <v>1322536.7816381399</v>
      </c>
      <c r="CA122" s="661">
        <f>+CA121</f>
        <v>449079.84000000136</v>
      </c>
      <c r="CB122" s="630">
        <f>+CB121</f>
        <v>54433.919999999998</v>
      </c>
      <c r="CC122" s="630">
        <f t="shared" si="85"/>
        <v>394645.92000000138</v>
      </c>
      <c r="CD122" s="662">
        <f>+CA$29*CC122+CB122</f>
        <v>127940.72702889548</v>
      </c>
      <c r="CE122" s="661">
        <f>+CE121</f>
        <v>38981.490000000209</v>
      </c>
      <c r="CF122" s="630">
        <f>+CF121</f>
        <v>4725.0290909090909</v>
      </c>
      <c r="CG122" s="630">
        <f t="shared" si="86"/>
        <v>34256.460909091118</v>
      </c>
      <c r="CH122" s="662">
        <f>+CE$29*CG122+CF122</f>
        <v>11105.64253178149</v>
      </c>
      <c r="CI122" s="661">
        <f>+CI121</f>
        <v>114355.22727272694</v>
      </c>
      <c r="CJ122" s="630">
        <f>+CJ121</f>
        <v>12362.727272727272</v>
      </c>
      <c r="CK122" s="630">
        <f t="shared" si="87"/>
        <v>101992.49999999968</v>
      </c>
      <c r="CL122" s="662">
        <f>+CI$29*CK122+CJ122</f>
        <v>30548.656321403159</v>
      </c>
      <c r="CM122" s="661">
        <f>+CM121</f>
        <v>6408914.3474431932</v>
      </c>
      <c r="CN122" s="630">
        <f>+CN121</f>
        <v>483691.64886363636</v>
      </c>
      <c r="CO122" s="630">
        <f t="shared" si="88"/>
        <v>5925222.6985795572</v>
      </c>
      <c r="CP122" s="662">
        <f>+CM$29*CO122+CN122</f>
        <v>1540197.5644355856</v>
      </c>
      <c r="CQ122" s="661">
        <f>+CQ121</f>
        <v>27743869.50937501</v>
      </c>
      <c r="CR122" s="630">
        <f>+CR121</f>
        <v>2017735.9643181816</v>
      </c>
      <c r="CS122" s="630">
        <f t="shared" si="89"/>
        <v>25726133.545056827</v>
      </c>
      <c r="CT122" s="662">
        <f>+CQ$29*CS122+CR122</f>
        <v>6604873.6396096544</v>
      </c>
      <c r="CU122" s="661">
        <f>+CU121</f>
        <v>9466735.2150000203</v>
      </c>
      <c r="CV122" s="630">
        <f>+CV121</f>
        <v>676195.37250000006</v>
      </c>
      <c r="CW122" s="630">
        <f t="shared" si="90"/>
        <v>8790539.8425000198</v>
      </c>
      <c r="CX122" s="662">
        <f>+CU$29*CW122+CV122</f>
        <v>2243606.0534350136</v>
      </c>
      <c r="CY122" s="782">
        <f t="shared" si="91"/>
        <v>8798707.3527918607</v>
      </c>
      <c r="CZ122" s="779">
        <f>+CY122</f>
        <v>8798707.3527918607</v>
      </c>
      <c r="DA122" s="752"/>
      <c r="DD122" s="661"/>
      <c r="DE122" s="630"/>
      <c r="DF122" s="630"/>
      <c r="DG122" s="662"/>
      <c r="DH122" s="661"/>
      <c r="DI122" s="630"/>
      <c r="DJ122" s="630"/>
      <c r="DK122" s="662"/>
      <c r="DL122" s="661"/>
      <c r="DM122" s="630"/>
      <c r="DN122" s="630"/>
      <c r="DO122" s="662"/>
      <c r="DP122" s="661"/>
      <c r="DQ122" s="630"/>
      <c r="DR122" s="630"/>
      <c r="DS122" s="662"/>
      <c r="DT122" s="661"/>
      <c r="DU122" s="630"/>
      <c r="DV122" s="630"/>
      <c r="DW122" s="662"/>
      <c r="DX122" s="661"/>
      <c r="DY122" s="630"/>
      <c r="DZ122" s="630"/>
      <c r="EA122" s="662"/>
      <c r="EB122" s="661"/>
      <c r="EC122" s="630"/>
      <c r="ED122" s="630"/>
      <c r="EE122" s="662"/>
      <c r="EF122" s="661"/>
      <c r="EG122" s="630"/>
      <c r="EH122" s="630"/>
      <c r="EI122" s="662"/>
      <c r="EJ122" s="661"/>
      <c r="EK122" s="630"/>
      <c r="EL122" s="630"/>
      <c r="EM122" s="662"/>
      <c r="EN122" s="661"/>
      <c r="EO122" s="630"/>
      <c r="EP122" s="630"/>
      <c r="EQ122" s="662"/>
      <c r="ER122" s="661"/>
      <c r="ES122" s="630"/>
      <c r="ET122" s="630"/>
      <c r="EU122" s="662"/>
      <c r="EW122" s="661"/>
      <c r="EX122" s="630"/>
      <c r="EY122" s="630"/>
      <c r="EZ122" s="662"/>
      <c r="FA122" s="661"/>
      <c r="FB122" s="630"/>
      <c r="FC122" s="630"/>
      <c r="FD122" s="662"/>
    </row>
    <row r="123" spans="1:160">
      <c r="A123" s="753" t="s">
        <v>24</v>
      </c>
      <c r="B123" s="774">
        <v>2048</v>
      </c>
      <c r="C123" s="775">
        <f>+E122</f>
        <v>2117511.9244318083</v>
      </c>
      <c r="D123" s="775">
        <f>+C$31</f>
        <v>445791.98409090913</v>
      </c>
      <c r="E123" s="775">
        <f t="shared" si="72"/>
        <v>1671719.9403408992</v>
      </c>
      <c r="F123" s="757">
        <f>+C$28*E123+D123</f>
        <v>743870.57049967814</v>
      </c>
      <c r="G123" s="775">
        <f>+I122</f>
        <v>521283.37295454362</v>
      </c>
      <c r="H123" s="775">
        <f>+G$31</f>
        <v>115840.74954545456</v>
      </c>
      <c r="I123" s="775">
        <f t="shared" si="73"/>
        <v>405442.62340908905</v>
      </c>
      <c r="J123" s="757">
        <f>+G$28*I123+H123</f>
        <v>188133.81798310176</v>
      </c>
      <c r="K123" s="776">
        <f>+M122</f>
        <v>1145324.1042613601</v>
      </c>
      <c r="L123" s="775">
        <f>+K$31</f>
        <v>305419.76113636367</v>
      </c>
      <c r="M123" s="775">
        <f t="shared" si="74"/>
        <v>839904.34312499641</v>
      </c>
      <c r="N123" s="757">
        <f>+K$28*M123+L123</f>
        <v>455180.19245970563</v>
      </c>
      <c r="O123" s="776">
        <f>+Q122</f>
        <v>696011.8560606027</v>
      </c>
      <c r="P123" s="775">
        <f>+O$31</f>
        <v>119316.31818181818</v>
      </c>
      <c r="Q123" s="775">
        <f t="shared" si="75"/>
        <v>576695.53787878458</v>
      </c>
      <c r="R123" s="757">
        <f>+O$28*Q123+P123</f>
        <v>222144.90003393069</v>
      </c>
      <c r="S123" s="661">
        <f>+U122</f>
        <v>242982.10606060294</v>
      </c>
      <c r="T123" s="630">
        <f>+S$31</f>
        <v>58315.705454545445</v>
      </c>
      <c r="U123" s="630">
        <f t="shared" si="76"/>
        <v>184666.40060605749</v>
      </c>
      <c r="V123" s="662">
        <f>+S$28*U123+T123</f>
        <v>91242.931075018801</v>
      </c>
      <c r="W123" s="661">
        <f>+Y122</f>
        <v>4044212.7462121318</v>
      </c>
      <c r="X123" s="630">
        <f>+W$31</f>
        <v>693293.61363636365</v>
      </c>
      <c r="Y123" s="630">
        <f t="shared" si="77"/>
        <v>3350919.132575768</v>
      </c>
      <c r="Z123" s="662">
        <f>+W$28*Y123+X123</f>
        <v>1290784.3859272052</v>
      </c>
      <c r="AA123" s="661">
        <f>+AC122</f>
        <v>2667430.3314393917</v>
      </c>
      <c r="AB123" s="630">
        <f>+AA$31</f>
        <v>450833.29545454547</v>
      </c>
      <c r="AC123" s="630">
        <f t="shared" si="78"/>
        <v>2216597.0359848463</v>
      </c>
      <c r="AD123" s="662">
        <f>+AA$28*AC123+AB123</f>
        <v>846067.02760078968</v>
      </c>
      <c r="AE123" s="661">
        <f>+AG122</f>
        <v>25288.375000000065</v>
      </c>
      <c r="AF123" s="630">
        <f>+AE$31</f>
        <v>4597.886363636364</v>
      </c>
      <c r="AG123" s="630">
        <f t="shared" si="79"/>
        <v>20690.488636363702</v>
      </c>
      <c r="AH123" s="662">
        <f>+AE$28*AG123+AF123</f>
        <v>8287.1356547444957</v>
      </c>
      <c r="AI123" s="661">
        <f>+AK122</f>
        <v>2019574.1174242476</v>
      </c>
      <c r="AJ123" s="630">
        <f>+AI$31</f>
        <v>295547.43181818182</v>
      </c>
      <c r="AK123" s="630">
        <f t="shared" si="83"/>
        <v>1724026.6856060657</v>
      </c>
      <c r="AL123" s="662">
        <f>+AI$28*AK123+AJ123</f>
        <v>602952.65261829807</v>
      </c>
      <c r="AM123" s="661">
        <f>+AO122</f>
        <v>720634.9519318185</v>
      </c>
      <c r="AN123" s="630">
        <f>+AM$31</f>
        <v>110866.91568181818</v>
      </c>
      <c r="AO123" s="630">
        <f t="shared" si="80"/>
        <v>609768.03625000035</v>
      </c>
      <c r="AP123" s="662">
        <f>+AM$28*AO123+AN123</f>
        <v>219592.5400502077</v>
      </c>
      <c r="AQ123" s="661">
        <f>+AS122</f>
        <v>6108292.60159091</v>
      </c>
      <c r="AR123" s="630">
        <f>+AQ$31</f>
        <v>904932.23727272719</v>
      </c>
      <c r="AS123" s="630">
        <f t="shared" si="81"/>
        <v>5203360.3643181827</v>
      </c>
      <c r="AT123" s="662">
        <f>+AQ$28*AS123+AR123</f>
        <v>1832725.3828489517</v>
      </c>
      <c r="AU123" s="775"/>
      <c r="AV123" s="775"/>
      <c r="AW123" s="775"/>
      <c r="AX123" s="757"/>
      <c r="AY123" s="775"/>
      <c r="AZ123" s="775"/>
      <c r="BA123" s="775"/>
      <c r="BB123" s="757"/>
      <c r="BC123" s="775"/>
      <c r="BD123" s="775"/>
      <c r="BE123" s="775"/>
      <c r="BF123" s="757"/>
      <c r="BG123" s="775"/>
      <c r="BH123" s="775"/>
      <c r="BI123" s="775"/>
      <c r="BJ123" s="757"/>
      <c r="BK123" s="775"/>
      <c r="BL123" s="775"/>
      <c r="BM123" s="775"/>
      <c r="BN123" s="757"/>
      <c r="BO123" s="775"/>
      <c r="BP123" s="775"/>
      <c r="BQ123" s="775"/>
      <c r="BR123" s="757"/>
      <c r="BS123" s="661">
        <f>+BU122</f>
        <v>58176.204545454806</v>
      </c>
      <c r="BT123" s="630">
        <f>+BS$31</f>
        <v>8310.886363636364</v>
      </c>
      <c r="BU123" s="630">
        <f t="shared" si="82"/>
        <v>49865.318181818438</v>
      </c>
      <c r="BV123" s="662">
        <f>+BS$28*BU123+BT123</f>
        <v>17202.198356618206</v>
      </c>
      <c r="BW123" s="661">
        <f>+BY122</f>
        <v>4182098.8977272883</v>
      </c>
      <c r="BX123" s="630">
        <f>+BW$31</f>
        <v>576841.22727272729</v>
      </c>
      <c r="BY123" s="630">
        <f t="shared" si="84"/>
        <v>3605257.6704545608</v>
      </c>
      <c r="BZ123" s="662">
        <f>+BW$28*BY123+BX123</f>
        <v>1219682.2224153248</v>
      </c>
      <c r="CA123" s="661">
        <f>+CC122</f>
        <v>394645.92000000138</v>
      </c>
      <c r="CB123" s="630">
        <f>+CA$31</f>
        <v>54433.919999999998</v>
      </c>
      <c r="CC123" s="630">
        <f t="shared" si="85"/>
        <v>340212.0000000014</v>
      </c>
      <c r="CD123" s="662">
        <f>+CA$28*CC123+CB123</f>
        <v>115095.94214386513</v>
      </c>
      <c r="CE123" s="661">
        <f>+CG122</f>
        <v>34256.460909091118</v>
      </c>
      <c r="CF123" s="630">
        <f>+CE$31</f>
        <v>4725.0290909090909</v>
      </c>
      <c r="CG123" s="630">
        <f t="shared" si="86"/>
        <v>29531.431818182027</v>
      </c>
      <c r="CH123" s="662">
        <f>+CE$28*CG123+CF123</f>
        <v>9990.6763076286497</v>
      </c>
      <c r="CI123" s="661">
        <f>+CK122</f>
        <v>101992.49999999968</v>
      </c>
      <c r="CJ123" s="630">
        <f>+CI$31</f>
        <v>12362.727272727272</v>
      </c>
      <c r="CK123" s="630">
        <f t="shared" si="87"/>
        <v>89629.772727272415</v>
      </c>
      <c r="CL123" s="662">
        <f>+CI$28*CK123+CJ123</f>
        <v>28344.301285200017</v>
      </c>
      <c r="CM123" s="661">
        <f>+CO122</f>
        <v>5925222.6985795572</v>
      </c>
      <c r="CN123" s="630">
        <f>+CM$31</f>
        <v>483691.64886363636</v>
      </c>
      <c r="CO123" s="630">
        <f t="shared" si="88"/>
        <v>5441531.0497159213</v>
      </c>
      <c r="CP123" s="662">
        <f>+CM$28*CO123+CN123</f>
        <v>1453952.1835725696</v>
      </c>
      <c r="CQ123" s="661">
        <f>+CS122</f>
        <v>25726133.545056827</v>
      </c>
      <c r="CR123" s="630">
        <f>+CQ$31</f>
        <v>2017735.9643181816</v>
      </c>
      <c r="CS123" s="630">
        <f t="shared" si="89"/>
        <v>23708397.580738645</v>
      </c>
      <c r="CT123" s="662">
        <f>+CQ$28*CS123+CR123</f>
        <v>6245098.1356652258</v>
      </c>
      <c r="CU123" s="661">
        <f>+CW122</f>
        <v>8790539.8425000198</v>
      </c>
      <c r="CV123" s="630">
        <f>+CU$31</f>
        <v>676195.37250000006</v>
      </c>
      <c r="CW123" s="630">
        <f t="shared" si="90"/>
        <v>8114344.4700000193</v>
      </c>
      <c r="CX123" s="662">
        <f>+CU$28*CW123+CV123</f>
        <v>2123036.0010553971</v>
      </c>
      <c r="CY123" s="782">
        <f t="shared" si="91"/>
        <v>7891296.8772602687</v>
      </c>
      <c r="CZ123" s="756"/>
      <c r="DA123" s="778">
        <f>+CY123</f>
        <v>7891296.8772602687</v>
      </c>
      <c r="DD123" s="661"/>
      <c r="DE123" s="630"/>
      <c r="DF123" s="630"/>
      <c r="DG123" s="662"/>
      <c r="DH123" s="661"/>
      <c r="DI123" s="630"/>
      <c r="DJ123" s="630"/>
      <c r="DK123" s="662"/>
      <c r="DL123" s="661"/>
      <c r="DM123" s="630"/>
      <c r="DN123" s="630"/>
      <c r="DO123" s="662"/>
      <c r="DP123" s="661"/>
      <c r="DQ123" s="630"/>
      <c r="DR123" s="630"/>
      <c r="DS123" s="662"/>
      <c r="DT123" s="661"/>
      <c r="DU123" s="630"/>
      <c r="DV123" s="630"/>
      <c r="DW123" s="662"/>
      <c r="DX123" s="661"/>
      <c r="DY123" s="630"/>
      <c r="DZ123" s="630"/>
      <c r="EA123" s="662"/>
      <c r="EB123" s="661"/>
      <c r="EC123" s="630"/>
      <c r="ED123" s="630"/>
      <c r="EE123" s="662"/>
      <c r="EF123" s="661"/>
      <c r="EG123" s="630"/>
      <c r="EH123" s="630"/>
      <c r="EI123" s="662"/>
      <c r="EJ123" s="661"/>
      <c r="EK123" s="630"/>
      <c r="EL123" s="630"/>
      <c r="EM123" s="662"/>
      <c r="EN123" s="661"/>
      <c r="EO123" s="630"/>
      <c r="EP123" s="630"/>
      <c r="EQ123" s="662"/>
      <c r="ER123" s="661"/>
      <c r="ES123" s="630"/>
      <c r="ET123" s="630"/>
      <c r="EU123" s="662"/>
      <c r="EW123" s="661"/>
      <c r="EX123" s="630"/>
      <c r="EY123" s="630"/>
      <c r="EZ123" s="662"/>
      <c r="FA123" s="661"/>
      <c r="FB123" s="630"/>
      <c r="FC123" s="630"/>
      <c r="FD123" s="662"/>
    </row>
    <row r="124" spans="1:160">
      <c r="A124" s="753" t="s">
        <v>23</v>
      </c>
      <c r="B124" s="774">
        <v>2048</v>
      </c>
      <c r="C124" s="775">
        <f>+C123</f>
        <v>2117511.9244318083</v>
      </c>
      <c r="D124" s="775">
        <f>+D123</f>
        <v>445791.98409090913</v>
      </c>
      <c r="E124" s="775">
        <f t="shared" si="72"/>
        <v>1671719.9403408992</v>
      </c>
      <c r="F124" s="757">
        <f>+C$29*E124+D124</f>
        <v>757166.7857384081</v>
      </c>
      <c r="G124" s="775">
        <f>+G123</f>
        <v>521283.37295454362</v>
      </c>
      <c r="H124" s="775">
        <f>+H123</f>
        <v>115840.74954545456</v>
      </c>
      <c r="I124" s="775">
        <f t="shared" si="73"/>
        <v>405442.62340908905</v>
      </c>
      <c r="J124" s="757">
        <f>+G$29*I124+H124</f>
        <v>191358.55213725875</v>
      </c>
      <c r="K124" s="776">
        <f>+K123</f>
        <v>1145324.1042613601</v>
      </c>
      <c r="L124" s="775">
        <f>+L123</f>
        <v>305419.76113636367</v>
      </c>
      <c r="M124" s="775">
        <f t="shared" si="74"/>
        <v>839904.34312499641</v>
      </c>
      <c r="N124" s="757">
        <f>+K$29*M124+L124</f>
        <v>461860.46746070654</v>
      </c>
      <c r="O124" s="776">
        <f>+O123</f>
        <v>696011.8560606027</v>
      </c>
      <c r="P124" s="775">
        <f>+P123</f>
        <v>119316.31818181818</v>
      </c>
      <c r="Q124" s="775">
        <f t="shared" si="75"/>
        <v>576695.53787878458</v>
      </c>
      <c r="R124" s="757">
        <f>+O$29*Q124+P124</f>
        <v>226731.71377815615</v>
      </c>
      <c r="S124" s="661">
        <f>+S123</f>
        <v>242982.10606060294</v>
      </c>
      <c r="T124" s="630">
        <f>+T123</f>
        <v>58315.705454545445</v>
      </c>
      <c r="U124" s="630">
        <f t="shared" si="76"/>
        <v>184666.40060605749</v>
      </c>
      <c r="V124" s="662">
        <f>+S$29*U124+T124</f>
        <v>92711.696357150315</v>
      </c>
      <c r="W124" s="661">
        <f>+W123</f>
        <v>4044212.7462121318</v>
      </c>
      <c r="X124" s="630">
        <f>+X123</f>
        <v>693293.61363636365</v>
      </c>
      <c r="Y124" s="630">
        <f t="shared" si="77"/>
        <v>3350919.132575768</v>
      </c>
      <c r="Z124" s="662">
        <f>+W$29*Y124+X124</f>
        <v>1317436.3034877623</v>
      </c>
      <c r="AA124" s="661">
        <f>+AA123</f>
        <v>2667430.3314393917</v>
      </c>
      <c r="AB124" s="630">
        <f>+AB123</f>
        <v>450833.29545454547</v>
      </c>
      <c r="AC124" s="630">
        <f t="shared" si="78"/>
        <v>2216597.0359848463</v>
      </c>
      <c r="AD124" s="662">
        <f>+AA$29*AC124+AB124</f>
        <v>863696.98497389792</v>
      </c>
      <c r="AE124" s="661">
        <f>+AE123</f>
        <v>25288.375000000065</v>
      </c>
      <c r="AF124" s="630">
        <f>+AF123</f>
        <v>4597.886363636364</v>
      </c>
      <c r="AG124" s="630">
        <f t="shared" si="79"/>
        <v>20690.488636363702</v>
      </c>
      <c r="AH124" s="662">
        <f>+AE$29*AG124+AF124</f>
        <v>8451.6998162795244</v>
      </c>
      <c r="AI124" s="661">
        <f>+AI123</f>
        <v>2019574.1174242476</v>
      </c>
      <c r="AJ124" s="630">
        <f>+AJ123</f>
        <v>295547.43181818182</v>
      </c>
      <c r="AK124" s="630">
        <f t="shared" si="83"/>
        <v>1724026.6856060657</v>
      </c>
      <c r="AL124" s="662">
        <f>+AI$29*AK124+AJ124</f>
        <v>616664.89552212914</v>
      </c>
      <c r="AM124" s="661">
        <f>+AM123</f>
        <v>720634.9519318185</v>
      </c>
      <c r="AN124" s="630">
        <f>+AN123</f>
        <v>110866.91568181818</v>
      </c>
      <c r="AO124" s="630">
        <f t="shared" si="80"/>
        <v>609768.03625000035</v>
      </c>
      <c r="AP124" s="662">
        <f>+AM$29*AO124+AN124</f>
        <v>224442.39968281117</v>
      </c>
      <c r="AQ124" s="661">
        <f>+AQ123</f>
        <v>6108292.60159091</v>
      </c>
      <c r="AR124" s="630">
        <f>+AR123</f>
        <v>904932.23727272719</v>
      </c>
      <c r="AS124" s="630">
        <f t="shared" si="81"/>
        <v>5203360.3643181827</v>
      </c>
      <c r="AT124" s="662">
        <f>+AQ$29*AS124+AR124</f>
        <v>1874110.9030542932</v>
      </c>
      <c r="AU124" s="775"/>
      <c r="AV124" s="775"/>
      <c r="AW124" s="775"/>
      <c r="AX124" s="757"/>
      <c r="AY124" s="775"/>
      <c r="AZ124" s="775"/>
      <c r="BA124" s="775"/>
      <c r="BB124" s="757"/>
      <c r="BC124" s="775"/>
      <c r="BD124" s="775"/>
      <c r="BE124" s="775"/>
      <c r="BF124" s="757"/>
      <c r="BG124" s="775"/>
      <c r="BH124" s="775"/>
      <c r="BI124" s="775"/>
      <c r="BJ124" s="757"/>
      <c r="BK124" s="775"/>
      <c r="BL124" s="775"/>
      <c r="BM124" s="775"/>
      <c r="BN124" s="757"/>
      <c r="BO124" s="775"/>
      <c r="BP124" s="775"/>
      <c r="BQ124" s="775"/>
      <c r="BR124" s="757"/>
      <c r="BS124" s="661">
        <f>+BS123</f>
        <v>58176.204545454806</v>
      </c>
      <c r="BT124" s="630">
        <f>+BT123</f>
        <v>8310.886363636364</v>
      </c>
      <c r="BU124" s="630">
        <f t="shared" si="82"/>
        <v>49865.318181818438</v>
      </c>
      <c r="BV124" s="662">
        <f>+BS$29*BU124+BT124</f>
        <v>17598.807852918169</v>
      </c>
      <c r="BW124" s="661">
        <f>+BW123</f>
        <v>4182098.8977272883</v>
      </c>
      <c r="BX124" s="630">
        <f>+BX123</f>
        <v>576841.22727272729</v>
      </c>
      <c r="BY124" s="630">
        <f t="shared" si="84"/>
        <v>3605257.6704545608</v>
      </c>
      <c r="BZ124" s="662">
        <f>+BW$29*BY124+BX124</f>
        <v>1219682.2224153248</v>
      </c>
      <c r="CA124" s="661">
        <f>+CA123</f>
        <v>394645.92000000138</v>
      </c>
      <c r="CB124" s="630">
        <f>+CB123</f>
        <v>54433.919999999998</v>
      </c>
      <c r="CC124" s="630">
        <f t="shared" si="85"/>
        <v>340212.0000000014</v>
      </c>
      <c r="CD124" s="662">
        <f>+CA$29*CC124+CB124</f>
        <v>117801.85709387544</v>
      </c>
      <c r="CE124" s="661">
        <f>+CE123</f>
        <v>34256.460909091118</v>
      </c>
      <c r="CF124" s="630">
        <f>+CF123</f>
        <v>4725.0290909090909</v>
      </c>
      <c r="CG124" s="630">
        <f t="shared" si="86"/>
        <v>29531.431818182027</v>
      </c>
      <c r="CH124" s="662">
        <f>+CE$29*CG124+CF124</f>
        <v>10225.557919247371</v>
      </c>
      <c r="CI124" s="661">
        <f>+CI123</f>
        <v>101992.49999999968</v>
      </c>
      <c r="CJ124" s="630">
        <f>+CJ123</f>
        <v>12362.727272727272</v>
      </c>
      <c r="CK124" s="630">
        <f t="shared" si="87"/>
        <v>89629.772727272415</v>
      </c>
      <c r="CL124" s="662">
        <f>+CI$29*CK124+CJ124</f>
        <v>28344.301285200017</v>
      </c>
      <c r="CM124" s="661">
        <f>+CM123</f>
        <v>5925222.6985795572</v>
      </c>
      <c r="CN124" s="630">
        <f>+CN123</f>
        <v>483691.64886363636</v>
      </c>
      <c r="CO124" s="630">
        <f t="shared" si="88"/>
        <v>5441531.0497159213</v>
      </c>
      <c r="CP124" s="662">
        <f>+CM$29*CO124+CN124</f>
        <v>1453952.1835725696</v>
      </c>
      <c r="CQ124" s="661">
        <f>+CQ123</f>
        <v>25726133.545056827</v>
      </c>
      <c r="CR124" s="630">
        <f>+CR123</f>
        <v>2017735.9643181816</v>
      </c>
      <c r="CS124" s="630">
        <f t="shared" si="89"/>
        <v>23708397.580738645</v>
      </c>
      <c r="CT124" s="662">
        <f>+CQ$29*CS124+CR124</f>
        <v>6245098.1356652258</v>
      </c>
      <c r="CU124" s="661">
        <f>+CU123</f>
        <v>8790539.8425000198</v>
      </c>
      <c r="CV124" s="630">
        <f>+CV123</f>
        <v>676195.37250000006</v>
      </c>
      <c r="CW124" s="630">
        <f t="shared" si="90"/>
        <v>8114344.4700000193</v>
      </c>
      <c r="CX124" s="662">
        <f>+CU$29*CW124+CV124</f>
        <v>2123036.0010553971</v>
      </c>
      <c r="CY124" s="782">
        <f t="shared" si="91"/>
        <v>8028285.1485754186</v>
      </c>
      <c r="CZ124" s="779">
        <f>+CY124</f>
        <v>8028285.1485754186</v>
      </c>
      <c r="DA124" s="752"/>
      <c r="DD124" s="661"/>
      <c r="DE124" s="630"/>
      <c r="DF124" s="630"/>
      <c r="DG124" s="662"/>
      <c r="DH124" s="661"/>
      <c r="DI124" s="630"/>
      <c r="DJ124" s="630"/>
      <c r="DK124" s="662"/>
      <c r="DL124" s="661"/>
      <c r="DM124" s="630"/>
      <c r="DN124" s="630"/>
      <c r="DO124" s="662"/>
      <c r="DP124" s="661"/>
      <c r="DQ124" s="630"/>
      <c r="DR124" s="630"/>
      <c r="DS124" s="662"/>
      <c r="DT124" s="661"/>
      <c r="DU124" s="630"/>
      <c r="DV124" s="630"/>
      <c r="DW124" s="662"/>
      <c r="DX124" s="661"/>
      <c r="DY124" s="630"/>
      <c r="DZ124" s="630"/>
      <c r="EA124" s="662"/>
      <c r="EB124" s="661"/>
      <c r="EC124" s="630"/>
      <c r="ED124" s="630"/>
      <c r="EE124" s="662"/>
      <c r="EF124" s="661"/>
      <c r="EG124" s="630"/>
      <c r="EH124" s="630"/>
      <c r="EI124" s="662"/>
      <c r="EJ124" s="661"/>
      <c r="EK124" s="630"/>
      <c r="EL124" s="630"/>
      <c r="EM124" s="662"/>
      <c r="EN124" s="661"/>
      <c r="EO124" s="630"/>
      <c r="EP124" s="630"/>
      <c r="EQ124" s="662"/>
      <c r="ER124" s="661"/>
      <c r="ES124" s="630"/>
      <c r="ET124" s="630"/>
      <c r="EU124" s="662"/>
      <c r="EW124" s="661"/>
      <c r="EX124" s="630"/>
      <c r="EY124" s="630"/>
      <c r="EZ124" s="662"/>
      <c r="FA124" s="661"/>
      <c r="FB124" s="630"/>
      <c r="FC124" s="630"/>
      <c r="FD124" s="662"/>
    </row>
    <row r="125" spans="1:160">
      <c r="A125" s="753" t="s">
        <v>24</v>
      </c>
      <c r="B125" s="774">
        <v>2049</v>
      </c>
      <c r="C125" s="775">
        <f>+E124</f>
        <v>1671719.9403408992</v>
      </c>
      <c r="D125" s="775">
        <f>+C$31</f>
        <v>445791.98409090913</v>
      </c>
      <c r="E125" s="775">
        <f t="shared" si="72"/>
        <v>1225927.95624999</v>
      </c>
      <c r="F125" s="757">
        <f>+C$28*E125+D125</f>
        <v>664382.94745733927</v>
      </c>
      <c r="G125" s="775">
        <f>+I124</f>
        <v>405442.62340908905</v>
      </c>
      <c r="H125" s="775">
        <f>+G$31</f>
        <v>115840.74954545456</v>
      </c>
      <c r="I125" s="775">
        <f t="shared" si="73"/>
        <v>289601.87386363448</v>
      </c>
      <c r="J125" s="757">
        <f>+G$28*I125+H125</f>
        <v>167478.65557234533</v>
      </c>
      <c r="K125" s="776">
        <f>+M124</f>
        <v>839904.34312499641</v>
      </c>
      <c r="L125" s="775">
        <f>+K$31</f>
        <v>305419.76113636367</v>
      </c>
      <c r="M125" s="775">
        <f t="shared" si="74"/>
        <v>534484.58198863268</v>
      </c>
      <c r="N125" s="757">
        <f>+K$28*M125+L125</f>
        <v>400721.85379667196</v>
      </c>
      <c r="O125" s="776">
        <f>+Q124</f>
        <v>576695.53787878458</v>
      </c>
      <c r="P125" s="775">
        <f>+O$31</f>
        <v>119316.31818181818</v>
      </c>
      <c r="Q125" s="775">
        <f t="shared" si="75"/>
        <v>457379.21969696641</v>
      </c>
      <c r="R125" s="757">
        <f>+O$28*Q125+P125</f>
        <v>200870.02103004523</v>
      </c>
      <c r="S125" s="661">
        <f>+U124</f>
        <v>184666.40060605749</v>
      </c>
      <c r="T125" s="630">
        <f>+S$31</f>
        <v>58315.705454545445</v>
      </c>
      <c r="U125" s="630">
        <f t="shared" si="76"/>
        <v>126350.69515151205</v>
      </c>
      <c r="V125" s="662">
        <f>+S$28*U125+T125</f>
        <v>80844.859826448097</v>
      </c>
      <c r="W125" s="661">
        <f>+Y124</f>
        <v>3350919.132575768</v>
      </c>
      <c r="X125" s="630">
        <f>+W$31</f>
        <v>693293.61363636365</v>
      </c>
      <c r="Y125" s="630">
        <f t="shared" si="77"/>
        <v>2657625.5189394043</v>
      </c>
      <c r="Z125" s="662">
        <f>+W$28*Y125+X125</f>
        <v>1167165.6054532384</v>
      </c>
      <c r="AA125" s="661">
        <f>+AC124</f>
        <v>2216597.0359848463</v>
      </c>
      <c r="AB125" s="630">
        <f>+AA$31</f>
        <v>450833.29545454547</v>
      </c>
      <c r="AC125" s="630">
        <f t="shared" si="78"/>
        <v>1765763.7405303009</v>
      </c>
      <c r="AD125" s="662">
        <f>+AA$28*AC125+AB125</f>
        <v>765680.50580833317</v>
      </c>
      <c r="AE125" s="661">
        <f>+AG124</f>
        <v>20690.488636363702</v>
      </c>
      <c r="AF125" s="630">
        <f>+AE$31</f>
        <v>4597.886363636364</v>
      </c>
      <c r="AG125" s="630">
        <f t="shared" si="79"/>
        <v>16092.602272727338</v>
      </c>
      <c r="AH125" s="662">
        <f>+AE$28*AG125+AF125</f>
        <v>7467.3024789426909</v>
      </c>
      <c r="AI125" s="661">
        <f>+AK124</f>
        <v>1724026.6856060657</v>
      </c>
      <c r="AJ125" s="630">
        <f>+AI$31</f>
        <v>295547.43181818182</v>
      </c>
      <c r="AK125" s="630">
        <f t="shared" si="83"/>
        <v>1428479.2537878838</v>
      </c>
      <c r="AL125" s="662">
        <f>+AI$28*AK125+AJ125</f>
        <v>550254.61476684967</v>
      </c>
      <c r="AM125" s="661">
        <f>+AO124</f>
        <v>609768.03625000035</v>
      </c>
      <c r="AN125" s="630">
        <f>+AM$31</f>
        <v>110866.91568181818</v>
      </c>
      <c r="AO125" s="630">
        <f t="shared" si="80"/>
        <v>498901.1205681822</v>
      </c>
      <c r="AP125" s="662">
        <f>+AM$28*AO125+AN125</f>
        <v>199824.24471050053</v>
      </c>
      <c r="AQ125" s="661">
        <f>+AS124</f>
        <v>5203360.3643181827</v>
      </c>
      <c r="AR125" s="630">
        <f>+AQ$31</f>
        <v>904932.23727272719</v>
      </c>
      <c r="AS125" s="630">
        <f t="shared" si="81"/>
        <v>4298428.1270454554</v>
      </c>
      <c r="AT125" s="662">
        <f>+AQ$28*AS125+AR125</f>
        <v>1671370.0531835214</v>
      </c>
      <c r="AU125" s="775"/>
      <c r="AV125" s="775"/>
      <c r="AW125" s="775"/>
      <c r="AX125" s="757"/>
      <c r="AY125" s="775"/>
      <c r="AZ125" s="775"/>
      <c r="BA125" s="775"/>
      <c r="BB125" s="757"/>
      <c r="BC125" s="775"/>
      <c r="BD125" s="775"/>
      <c r="BE125" s="775"/>
      <c r="BF125" s="757"/>
      <c r="BG125" s="775"/>
      <c r="BH125" s="775"/>
      <c r="BI125" s="775"/>
      <c r="BJ125" s="757"/>
      <c r="BK125" s="775"/>
      <c r="BL125" s="775"/>
      <c r="BM125" s="775"/>
      <c r="BN125" s="757"/>
      <c r="BO125" s="775"/>
      <c r="BP125" s="775"/>
      <c r="BQ125" s="775"/>
      <c r="BR125" s="757"/>
      <c r="BS125" s="661">
        <f>+BU124</f>
        <v>49865.318181818438</v>
      </c>
      <c r="BT125" s="630">
        <f>+BS$31</f>
        <v>8310.886363636364</v>
      </c>
      <c r="BU125" s="630">
        <f t="shared" si="82"/>
        <v>41554.431818182071</v>
      </c>
      <c r="BV125" s="662">
        <f>+BS$28*BU125+BT125</f>
        <v>15720.313024454574</v>
      </c>
      <c r="BW125" s="661">
        <f>+BY124</f>
        <v>3605257.6704545608</v>
      </c>
      <c r="BX125" s="630">
        <f>+BW$31</f>
        <v>576841.22727272729</v>
      </c>
      <c r="BY125" s="630">
        <f t="shared" si="84"/>
        <v>3028416.4431818333</v>
      </c>
      <c r="BZ125" s="662">
        <f>+BW$28*BY125+BX125</f>
        <v>1116827.6631925094</v>
      </c>
      <c r="CA125" s="661">
        <f>+CC124</f>
        <v>340212.0000000014</v>
      </c>
      <c r="CB125" s="630">
        <f>+CA$31</f>
        <v>54433.919999999998</v>
      </c>
      <c r="CC125" s="630">
        <f t="shared" si="85"/>
        <v>285778.08000000141</v>
      </c>
      <c r="CD125" s="662">
        <f>+CA$28*CC125+CB125</f>
        <v>105390.01860084676</v>
      </c>
      <c r="CE125" s="661">
        <f>+CG124</f>
        <v>29531.431818182027</v>
      </c>
      <c r="CF125" s="630">
        <f>+CE$31</f>
        <v>4725.0290909090909</v>
      </c>
      <c r="CG125" s="630">
        <f t="shared" si="86"/>
        <v>24806.402727272936</v>
      </c>
      <c r="CH125" s="662">
        <f>+CE$28*CG125+CF125</f>
        <v>9148.1727529535256</v>
      </c>
      <c r="CI125" s="661">
        <f>+CK124</f>
        <v>89629.772727272415</v>
      </c>
      <c r="CJ125" s="630">
        <f>+CI$31</f>
        <v>12362.727272727272</v>
      </c>
      <c r="CK125" s="630">
        <f t="shared" si="87"/>
        <v>77267.04545454515</v>
      </c>
      <c r="CL125" s="662">
        <f>+CI$28*CK125+CJ125</f>
        <v>26139.946248996872</v>
      </c>
      <c r="CM125" s="661">
        <f>+CO124</f>
        <v>5441531.0497159213</v>
      </c>
      <c r="CN125" s="630">
        <f>+CM$31</f>
        <v>483691.64886363636</v>
      </c>
      <c r="CO125" s="630">
        <f t="shared" si="88"/>
        <v>4957839.4008522853</v>
      </c>
      <c r="CP125" s="662">
        <f>+CM$28*CO125+CN125</f>
        <v>1367706.8027095536</v>
      </c>
      <c r="CQ125" s="661">
        <f>+CS124</f>
        <v>23708397.580738645</v>
      </c>
      <c r="CR125" s="630">
        <f>+CQ$31</f>
        <v>2017735.9643181816</v>
      </c>
      <c r="CS125" s="630">
        <f t="shared" si="89"/>
        <v>21690661.616420463</v>
      </c>
      <c r="CT125" s="662">
        <f>+CQ$28*CS125+CR125</f>
        <v>5885322.6317207962</v>
      </c>
      <c r="CU125" s="661">
        <f>+CW124</f>
        <v>8114344.4700000193</v>
      </c>
      <c r="CV125" s="630">
        <f>+CU$31</f>
        <v>676195.37250000006</v>
      </c>
      <c r="CW125" s="630">
        <f t="shared" si="90"/>
        <v>7438149.0975000188</v>
      </c>
      <c r="CX125" s="662">
        <f>+CU$28*CW125+CV125</f>
        <v>2002465.948675781</v>
      </c>
      <c r="CY125" s="782">
        <f t="shared" si="91"/>
        <v>7149286.7779039964</v>
      </c>
      <c r="CZ125" s="756"/>
      <c r="DA125" s="778">
        <f>+CY125</f>
        <v>7149286.7779039964</v>
      </c>
      <c r="DD125" s="661"/>
      <c r="DE125" s="630"/>
      <c r="DF125" s="630"/>
      <c r="DG125" s="662"/>
      <c r="DH125" s="661"/>
      <c r="DI125" s="630"/>
      <c r="DJ125" s="630"/>
      <c r="DK125" s="662"/>
      <c r="DL125" s="661"/>
      <c r="DM125" s="630"/>
      <c r="DN125" s="630"/>
      <c r="DO125" s="662"/>
      <c r="DP125" s="661"/>
      <c r="DQ125" s="630"/>
      <c r="DR125" s="630"/>
      <c r="DS125" s="662"/>
      <c r="DT125" s="661"/>
      <c r="DU125" s="630"/>
      <c r="DV125" s="630"/>
      <c r="DW125" s="662"/>
      <c r="DX125" s="661"/>
      <c r="DY125" s="630"/>
      <c r="DZ125" s="630"/>
      <c r="EA125" s="662"/>
      <c r="EB125" s="661"/>
      <c r="EC125" s="630"/>
      <c r="ED125" s="630"/>
      <c r="EE125" s="662"/>
      <c r="EF125" s="661"/>
      <c r="EG125" s="630"/>
      <c r="EH125" s="630"/>
      <c r="EI125" s="662"/>
      <c r="EJ125" s="661"/>
      <c r="EK125" s="630"/>
      <c r="EL125" s="630"/>
      <c r="EM125" s="662"/>
      <c r="EN125" s="661"/>
      <c r="EO125" s="630"/>
      <c r="EP125" s="630"/>
      <c r="EQ125" s="662"/>
      <c r="ER125" s="661"/>
      <c r="ES125" s="630"/>
      <c r="ET125" s="630"/>
      <c r="EU125" s="662"/>
      <c r="EW125" s="661"/>
      <c r="EX125" s="630"/>
      <c r="EY125" s="630"/>
      <c r="EZ125" s="662"/>
      <c r="FA125" s="661"/>
      <c r="FB125" s="630"/>
      <c r="FC125" s="630"/>
      <c r="FD125" s="662"/>
    </row>
    <row r="126" spans="1:160">
      <c r="A126" s="753" t="s">
        <v>23</v>
      </c>
      <c r="B126" s="774">
        <v>2049</v>
      </c>
      <c r="C126" s="775">
        <f>+C125</f>
        <v>1671719.9403408992</v>
      </c>
      <c r="D126" s="775">
        <f>+D125</f>
        <v>445791.98409090913</v>
      </c>
      <c r="E126" s="775">
        <f t="shared" si="72"/>
        <v>1225927.95624999</v>
      </c>
      <c r="F126" s="757">
        <f>+C$29*E126+D126</f>
        <v>674133.50529907446</v>
      </c>
      <c r="G126" s="775">
        <f>+G125</f>
        <v>405442.62340908905</v>
      </c>
      <c r="H126" s="775">
        <f>+H125</f>
        <v>115840.74954545456</v>
      </c>
      <c r="I126" s="775">
        <f t="shared" si="73"/>
        <v>289601.87386363448</v>
      </c>
      <c r="J126" s="757">
        <f>+G$29*I126+H126</f>
        <v>169782.03711102885</v>
      </c>
      <c r="K126" s="776">
        <f>+K125</f>
        <v>839904.34312499641</v>
      </c>
      <c r="L126" s="775">
        <f>+L125</f>
        <v>305419.76113636367</v>
      </c>
      <c r="M126" s="775">
        <f t="shared" si="74"/>
        <v>534484.58198863268</v>
      </c>
      <c r="N126" s="757">
        <f>+K$29*M126+L126</f>
        <v>404972.93788821797</v>
      </c>
      <c r="O126" s="776">
        <f>+O125</f>
        <v>576695.53787878458</v>
      </c>
      <c r="P126" s="775">
        <f>+P125</f>
        <v>119316.31818181818</v>
      </c>
      <c r="Q126" s="775">
        <f t="shared" si="75"/>
        <v>457379.21969696641</v>
      </c>
      <c r="R126" s="757">
        <f>+O$29*Q126+P126</f>
        <v>204507.83882718958</v>
      </c>
      <c r="S126" s="661">
        <f>+S125</f>
        <v>184666.40060605749</v>
      </c>
      <c r="T126" s="630">
        <f>+T125</f>
        <v>58315.705454545445</v>
      </c>
      <c r="U126" s="630">
        <f t="shared" si="76"/>
        <v>126350.69515151205</v>
      </c>
      <c r="V126" s="662">
        <f>+S$29*U126+T126</f>
        <v>81849.80449316965</v>
      </c>
      <c r="W126" s="661">
        <f>+W125</f>
        <v>3350919.132575768</v>
      </c>
      <c r="X126" s="630">
        <f>+X125</f>
        <v>693293.61363636365</v>
      </c>
      <c r="Y126" s="630">
        <f t="shared" si="77"/>
        <v>2657625.5189394043</v>
      </c>
      <c r="Z126" s="662">
        <f>+W$29*Y126+X126</f>
        <v>1188303.3331736804</v>
      </c>
      <c r="AA126" s="661">
        <f>+AA125</f>
        <v>2216597.0359848463</v>
      </c>
      <c r="AB126" s="630">
        <f>+AB125</f>
        <v>450833.29545454547</v>
      </c>
      <c r="AC126" s="630">
        <f t="shared" si="78"/>
        <v>1765763.7405303009</v>
      </c>
      <c r="AD126" s="662">
        <f>+AA$29*AC126+AB126</f>
        <v>779724.70913945325</v>
      </c>
      <c r="AE126" s="661">
        <f>+AE125</f>
        <v>20690.488636363702</v>
      </c>
      <c r="AF126" s="630">
        <f>+AF125</f>
        <v>4597.886363636364</v>
      </c>
      <c r="AG126" s="630">
        <f t="shared" si="79"/>
        <v>16092.602272727338</v>
      </c>
      <c r="AH126" s="662">
        <f>+AE$29*AG126+AF126</f>
        <v>7595.2968268032682</v>
      </c>
      <c r="AI126" s="661">
        <f>+AI125</f>
        <v>1724026.6856060657</v>
      </c>
      <c r="AJ126" s="630">
        <f>+AJ125</f>
        <v>295547.43181818182</v>
      </c>
      <c r="AK126" s="630">
        <f t="shared" si="83"/>
        <v>1428479.2537878838</v>
      </c>
      <c r="AL126" s="662">
        <f>+AI$29*AK126+AJ126</f>
        <v>561616.18745859549</v>
      </c>
      <c r="AM126" s="661">
        <f>+AM125</f>
        <v>609768.03625000035</v>
      </c>
      <c r="AN126" s="630">
        <f>+AN125</f>
        <v>110866.91568181818</v>
      </c>
      <c r="AO126" s="630">
        <f t="shared" si="80"/>
        <v>498901.1205681822</v>
      </c>
      <c r="AP126" s="662">
        <f>+AM$29*AO126+AN126</f>
        <v>203792.31168263065</v>
      </c>
      <c r="AQ126" s="661">
        <f>+AQ125</f>
        <v>5203360.3643181827</v>
      </c>
      <c r="AR126" s="630">
        <f>+AR125</f>
        <v>904932.23727272719</v>
      </c>
      <c r="AS126" s="630">
        <f t="shared" si="81"/>
        <v>4298428.1270454554</v>
      </c>
      <c r="AT126" s="662">
        <f>+AQ$29*AS126+AR126</f>
        <v>1705558.091614021</v>
      </c>
      <c r="AU126" s="775"/>
      <c r="AV126" s="775"/>
      <c r="AW126" s="775"/>
      <c r="AX126" s="757"/>
      <c r="AY126" s="775"/>
      <c r="AZ126" s="775"/>
      <c r="BA126" s="775"/>
      <c r="BB126" s="757"/>
      <c r="BC126" s="775"/>
      <c r="BD126" s="775"/>
      <c r="BE126" s="775"/>
      <c r="BF126" s="757"/>
      <c r="BG126" s="775"/>
      <c r="BH126" s="775"/>
      <c r="BI126" s="775"/>
      <c r="BJ126" s="757"/>
      <c r="BK126" s="775"/>
      <c r="BL126" s="775"/>
      <c r="BM126" s="775"/>
      <c r="BN126" s="757"/>
      <c r="BO126" s="775"/>
      <c r="BP126" s="775"/>
      <c r="BQ126" s="775"/>
      <c r="BR126" s="757"/>
      <c r="BS126" s="661">
        <f>+BS125</f>
        <v>49865.318181818438</v>
      </c>
      <c r="BT126" s="630">
        <f>+BT125</f>
        <v>8310.886363636364</v>
      </c>
      <c r="BU126" s="630">
        <f t="shared" si="82"/>
        <v>41554.431818182071</v>
      </c>
      <c r="BV126" s="662">
        <f>+BS$29*BU126+BT126</f>
        <v>16050.820938037876</v>
      </c>
      <c r="BW126" s="661">
        <f>+BW125</f>
        <v>3605257.6704545608</v>
      </c>
      <c r="BX126" s="630">
        <f>+BX125</f>
        <v>576841.22727272729</v>
      </c>
      <c r="BY126" s="630">
        <f t="shared" si="84"/>
        <v>3028416.4431818333</v>
      </c>
      <c r="BZ126" s="662">
        <f>+BW$29*BY126+BX126</f>
        <v>1116827.6631925094</v>
      </c>
      <c r="CA126" s="661">
        <f>+CA125</f>
        <v>340212.0000000014</v>
      </c>
      <c r="CB126" s="630">
        <f>+CB125</f>
        <v>54433.919999999998</v>
      </c>
      <c r="CC126" s="630">
        <f t="shared" si="85"/>
        <v>285778.08000000141</v>
      </c>
      <c r="CD126" s="662">
        <f>+CA$29*CC126+CB126</f>
        <v>107662.98715885542</v>
      </c>
      <c r="CE126" s="661">
        <f>+CE125</f>
        <v>29531.431818182027</v>
      </c>
      <c r="CF126" s="630">
        <f>+CF125</f>
        <v>4725.0290909090909</v>
      </c>
      <c r="CG126" s="630">
        <f t="shared" si="86"/>
        <v>24806.402727272936</v>
      </c>
      <c r="CH126" s="662">
        <f>+CE$29*CG126+CF126</f>
        <v>9345.4733067132529</v>
      </c>
      <c r="CI126" s="661">
        <f>+CI125</f>
        <v>89629.772727272415</v>
      </c>
      <c r="CJ126" s="630">
        <f>+CJ125</f>
        <v>12362.727272727272</v>
      </c>
      <c r="CK126" s="630">
        <f t="shared" si="87"/>
        <v>77267.04545454515</v>
      </c>
      <c r="CL126" s="662">
        <f>+CI$29*CK126+CJ126</f>
        <v>26139.946248996872</v>
      </c>
      <c r="CM126" s="661">
        <f>+CM125</f>
        <v>5441531.0497159213</v>
      </c>
      <c r="CN126" s="630">
        <f>+CN125</f>
        <v>483691.64886363636</v>
      </c>
      <c r="CO126" s="630">
        <f t="shared" si="88"/>
        <v>4957839.4008522853</v>
      </c>
      <c r="CP126" s="662">
        <f>+CM$29*CO126+CN126</f>
        <v>1367706.8027095536</v>
      </c>
      <c r="CQ126" s="661">
        <f>+CQ125</f>
        <v>23708397.580738645</v>
      </c>
      <c r="CR126" s="630">
        <f>+CR125</f>
        <v>2017735.9643181816</v>
      </c>
      <c r="CS126" s="630">
        <f t="shared" si="89"/>
        <v>21690661.616420463</v>
      </c>
      <c r="CT126" s="662">
        <f>+CQ$29*CS126+CR126</f>
        <v>5885322.6317207962</v>
      </c>
      <c r="CU126" s="661">
        <f>+CU125</f>
        <v>8114344.4700000193</v>
      </c>
      <c r="CV126" s="630">
        <f>+CV125</f>
        <v>676195.37250000006</v>
      </c>
      <c r="CW126" s="630">
        <f t="shared" si="90"/>
        <v>7438149.0975000188</v>
      </c>
      <c r="CX126" s="662">
        <f>+CU$29*CW126+CV126</f>
        <v>2002465.948675781</v>
      </c>
      <c r="CY126" s="782">
        <f t="shared" si="91"/>
        <v>7257862.9443589775</v>
      </c>
      <c r="CZ126" s="779">
        <f>+CY126</f>
        <v>7257862.9443589775</v>
      </c>
      <c r="DA126" s="752"/>
      <c r="DD126" s="661"/>
      <c r="DE126" s="630"/>
      <c r="DF126" s="630"/>
      <c r="DG126" s="662"/>
      <c r="DH126" s="661"/>
      <c r="DI126" s="630"/>
      <c r="DJ126" s="630"/>
      <c r="DK126" s="662"/>
      <c r="DL126" s="661"/>
      <c r="DM126" s="630"/>
      <c r="DN126" s="630"/>
      <c r="DO126" s="662"/>
      <c r="DP126" s="661"/>
      <c r="DQ126" s="630"/>
      <c r="DR126" s="630"/>
      <c r="DS126" s="662"/>
      <c r="DT126" s="661"/>
      <c r="DU126" s="630"/>
      <c r="DV126" s="630"/>
      <c r="DW126" s="662"/>
      <c r="DX126" s="661"/>
      <c r="DY126" s="630"/>
      <c r="DZ126" s="630"/>
      <c r="EA126" s="662"/>
      <c r="EB126" s="661"/>
      <c r="EC126" s="630"/>
      <c r="ED126" s="630"/>
      <c r="EE126" s="662"/>
      <c r="EF126" s="661"/>
      <c r="EG126" s="630"/>
      <c r="EH126" s="630"/>
      <c r="EI126" s="662"/>
      <c r="EJ126" s="661"/>
      <c r="EK126" s="630"/>
      <c r="EL126" s="630"/>
      <c r="EM126" s="662"/>
      <c r="EN126" s="661"/>
      <c r="EO126" s="630"/>
      <c r="EP126" s="630"/>
      <c r="EQ126" s="662"/>
      <c r="ER126" s="661"/>
      <c r="ES126" s="630"/>
      <c r="ET126" s="630"/>
      <c r="EU126" s="662"/>
      <c r="EW126" s="661"/>
      <c r="EX126" s="630"/>
      <c r="EY126" s="630"/>
      <c r="EZ126" s="662"/>
      <c r="FA126" s="661"/>
      <c r="FB126" s="630"/>
      <c r="FC126" s="630"/>
      <c r="FD126" s="662"/>
    </row>
    <row r="127" spans="1:160">
      <c r="A127" s="753" t="s">
        <v>24</v>
      </c>
      <c r="B127" s="774">
        <v>2050</v>
      </c>
      <c r="C127" s="775">
        <f>+E126</f>
        <v>1225927.95624999</v>
      </c>
      <c r="D127" s="775">
        <f>+C$31</f>
        <v>445791.98409090913</v>
      </c>
      <c r="E127" s="775">
        <f t="shared" si="72"/>
        <v>780135.97215908091</v>
      </c>
      <c r="F127" s="757">
        <f>+C$28*E127+D127</f>
        <v>584895.32441500039</v>
      </c>
      <c r="G127" s="775">
        <f>+I126</f>
        <v>289601.87386363448</v>
      </c>
      <c r="H127" s="775">
        <f>+G$31</f>
        <v>115840.74954545456</v>
      </c>
      <c r="I127" s="775">
        <f t="shared" si="73"/>
        <v>173761.12431817991</v>
      </c>
      <c r="J127" s="757">
        <f>+G$28*I127+H127</f>
        <v>146823.49316158888</v>
      </c>
      <c r="K127" s="776">
        <f>+M126</f>
        <v>534484.58198863268</v>
      </c>
      <c r="L127" s="775">
        <f>+K$31</f>
        <v>305419.76113636367</v>
      </c>
      <c r="M127" s="775">
        <f t="shared" si="74"/>
        <v>229064.82085226901</v>
      </c>
      <c r="N127" s="757">
        <f>+K$28*M127+L127</f>
        <v>346263.51513363828</v>
      </c>
      <c r="O127" s="776">
        <f>+Q126</f>
        <v>457379.21969696641</v>
      </c>
      <c r="P127" s="775">
        <f>+O$31</f>
        <v>119316.31818181818</v>
      </c>
      <c r="Q127" s="775">
        <f t="shared" si="75"/>
        <v>338062.90151514823</v>
      </c>
      <c r="R127" s="757">
        <f>+O$28*Q127+P127</f>
        <v>179595.14202615977</v>
      </c>
      <c r="S127" s="661">
        <f>+U126</f>
        <v>126350.69515151205</v>
      </c>
      <c r="T127" s="630">
        <f>+S$31</f>
        <v>58315.705454545445</v>
      </c>
      <c r="U127" s="630">
        <f t="shared" si="76"/>
        <v>68034.989696966601</v>
      </c>
      <c r="V127" s="662">
        <f>+S$28*U127+T127</f>
        <v>70446.788577877393</v>
      </c>
      <c r="W127" s="661">
        <f>+Y126</f>
        <v>2657625.5189394043</v>
      </c>
      <c r="X127" s="630">
        <f>+W$31</f>
        <v>693293.61363636365</v>
      </c>
      <c r="Y127" s="630">
        <f t="shared" si="77"/>
        <v>1964331.9053030405</v>
      </c>
      <c r="Z127" s="662">
        <f>+W$28*Y127+X127</f>
        <v>1043546.8249792715</v>
      </c>
      <c r="AA127" s="661">
        <f>+AC126</f>
        <v>1765763.7405303009</v>
      </c>
      <c r="AB127" s="630">
        <f>+AA$31</f>
        <v>450833.29545454547</v>
      </c>
      <c r="AC127" s="630">
        <f t="shared" si="78"/>
        <v>1314930.4450757555</v>
      </c>
      <c r="AD127" s="662">
        <f>+AA$28*AC127+AB127</f>
        <v>685293.98401587666</v>
      </c>
      <c r="AE127" s="661">
        <f>+AG126</f>
        <v>16092.602272727338</v>
      </c>
      <c r="AF127" s="630">
        <f>+AE$31</f>
        <v>4597.886363636364</v>
      </c>
      <c r="AG127" s="630">
        <f t="shared" si="79"/>
        <v>11494.715909090974</v>
      </c>
      <c r="AH127" s="662">
        <f>+AE$28*AG127+AF127</f>
        <v>6647.469303140887</v>
      </c>
      <c r="AI127" s="661">
        <f>+AK126</f>
        <v>1428479.2537878838</v>
      </c>
      <c r="AJ127" s="630">
        <f>+AI$31</f>
        <v>295547.43181818182</v>
      </c>
      <c r="AK127" s="630">
        <f t="shared" si="83"/>
        <v>1132931.8219697019</v>
      </c>
      <c r="AL127" s="662">
        <f>+AI$28*AK127+AJ127</f>
        <v>497556.57691540138</v>
      </c>
      <c r="AM127" s="661">
        <f>+AO126</f>
        <v>498901.1205681822</v>
      </c>
      <c r="AN127" s="630">
        <f>+AM$31</f>
        <v>110866.91568181818</v>
      </c>
      <c r="AO127" s="630">
        <f t="shared" si="80"/>
        <v>388034.20488636405</v>
      </c>
      <c r="AP127" s="662">
        <f>+AM$28*AO127+AN127</f>
        <v>180055.94937079336</v>
      </c>
      <c r="AQ127" s="661">
        <f>+AS126</f>
        <v>4298428.1270454554</v>
      </c>
      <c r="AR127" s="630">
        <f>+AQ$31</f>
        <v>904932.23727272719</v>
      </c>
      <c r="AS127" s="630">
        <f t="shared" si="81"/>
        <v>3393495.8897727281</v>
      </c>
      <c r="AT127" s="662">
        <f>+AQ$28*AS127+AR127</f>
        <v>1510014.723518091</v>
      </c>
      <c r="AU127" s="775"/>
      <c r="AV127" s="775"/>
      <c r="AW127" s="775"/>
      <c r="AX127" s="757"/>
      <c r="AY127" s="775"/>
      <c r="AZ127" s="775"/>
      <c r="BA127" s="775"/>
      <c r="BB127" s="757"/>
      <c r="BC127" s="775"/>
      <c r="BD127" s="775"/>
      <c r="BE127" s="775"/>
      <c r="BF127" s="757"/>
      <c r="BG127" s="775"/>
      <c r="BH127" s="775"/>
      <c r="BI127" s="775"/>
      <c r="BJ127" s="757"/>
      <c r="BK127" s="775"/>
      <c r="BL127" s="775"/>
      <c r="BM127" s="775"/>
      <c r="BN127" s="757"/>
      <c r="BO127" s="775"/>
      <c r="BP127" s="775"/>
      <c r="BQ127" s="775"/>
      <c r="BR127" s="757"/>
      <c r="BS127" s="661">
        <f>+BU126</f>
        <v>41554.431818182071</v>
      </c>
      <c r="BT127" s="630">
        <f>+BS$31</f>
        <v>8310.886363636364</v>
      </c>
      <c r="BU127" s="630">
        <f t="shared" si="82"/>
        <v>33243.545454545703</v>
      </c>
      <c r="BV127" s="662">
        <f>+BS$28*BU127+BT127</f>
        <v>14238.427692290941</v>
      </c>
      <c r="BW127" s="661">
        <f>+BY126</f>
        <v>3028416.4431818333</v>
      </c>
      <c r="BX127" s="630">
        <f>+BW$31</f>
        <v>576841.22727272729</v>
      </c>
      <c r="BY127" s="630">
        <f t="shared" si="84"/>
        <v>2451575.2159091057</v>
      </c>
      <c r="BZ127" s="662">
        <f>+BW$28*BY127+BX127</f>
        <v>1013973.1039696943</v>
      </c>
      <c r="CA127" s="661">
        <f>+CC126</f>
        <v>285778.08000000141</v>
      </c>
      <c r="CB127" s="630">
        <f>+CA$31</f>
        <v>54433.919999999998</v>
      </c>
      <c r="CC127" s="630">
        <f t="shared" si="85"/>
        <v>231344.16000000143</v>
      </c>
      <c r="CD127" s="662">
        <f>+CA$28*CC127+CB127</f>
        <v>95684.095057828381</v>
      </c>
      <c r="CE127" s="661">
        <f>+CG126</f>
        <v>24806.402727272936</v>
      </c>
      <c r="CF127" s="630">
        <f>+CE$31</f>
        <v>4725.0290909090909</v>
      </c>
      <c r="CG127" s="630">
        <f t="shared" si="86"/>
        <v>20081.373636363845</v>
      </c>
      <c r="CH127" s="662">
        <f>+CE$28*CG127+CF127</f>
        <v>8305.6691982784032</v>
      </c>
      <c r="CI127" s="661">
        <f>+CK126</f>
        <v>77267.04545454515</v>
      </c>
      <c r="CJ127" s="630">
        <f>+CI$31</f>
        <v>12362.727272727272</v>
      </c>
      <c r="CK127" s="630">
        <f t="shared" si="87"/>
        <v>64904.318181817878</v>
      </c>
      <c r="CL127" s="662">
        <f>+CI$28*CK127+CJ127</f>
        <v>23935.591212793726</v>
      </c>
      <c r="CM127" s="661">
        <f>+CO126</f>
        <v>4957839.4008522853</v>
      </c>
      <c r="CN127" s="630">
        <f>+CM$31</f>
        <v>483691.64886363636</v>
      </c>
      <c r="CO127" s="630">
        <f t="shared" si="88"/>
        <v>4474147.7519886494</v>
      </c>
      <c r="CP127" s="662">
        <f>+CM$28*CO127+CN127</f>
        <v>1281461.4218465376</v>
      </c>
      <c r="CQ127" s="661">
        <f>+CS126</f>
        <v>21690661.616420463</v>
      </c>
      <c r="CR127" s="630">
        <f>+CQ$31</f>
        <v>2017735.9643181816</v>
      </c>
      <c r="CS127" s="630">
        <f t="shared" si="89"/>
        <v>19672925.65210228</v>
      </c>
      <c r="CT127" s="662">
        <f>+CQ$28*CS127+CR127</f>
        <v>5525547.1277763676</v>
      </c>
      <c r="CU127" s="661">
        <f>+CW126</f>
        <v>7438149.0975000188</v>
      </c>
      <c r="CV127" s="630">
        <f>+CU$31</f>
        <v>676195.37250000006</v>
      </c>
      <c r="CW127" s="630">
        <f t="shared" si="90"/>
        <v>6761953.7250000183</v>
      </c>
      <c r="CX127" s="662">
        <f>+CU$28*CW127+CV127</f>
        <v>1881895.8962961647</v>
      </c>
      <c r="CY127" s="782">
        <f t="shared" si="91"/>
        <v>6407276.678547726</v>
      </c>
      <c r="CZ127" s="756"/>
      <c r="DA127" s="778">
        <f>+CY127</f>
        <v>6407276.678547726</v>
      </c>
      <c r="DD127" s="661"/>
      <c r="DE127" s="630"/>
      <c r="DF127" s="630"/>
      <c r="DG127" s="662"/>
      <c r="DH127" s="661"/>
      <c r="DI127" s="630"/>
      <c r="DJ127" s="630"/>
      <c r="DK127" s="662"/>
      <c r="DL127" s="661"/>
      <c r="DM127" s="630"/>
      <c r="DN127" s="630"/>
      <c r="DO127" s="662"/>
      <c r="DP127" s="661"/>
      <c r="DQ127" s="630"/>
      <c r="DR127" s="630"/>
      <c r="DS127" s="662"/>
      <c r="DT127" s="661"/>
      <c r="DU127" s="630"/>
      <c r="DV127" s="630"/>
      <c r="DW127" s="662"/>
      <c r="DX127" s="661"/>
      <c r="DY127" s="630"/>
      <c r="DZ127" s="630"/>
      <c r="EA127" s="662"/>
      <c r="EB127" s="661"/>
      <c r="EC127" s="630"/>
      <c r="ED127" s="630"/>
      <c r="EE127" s="662"/>
      <c r="EF127" s="661"/>
      <c r="EG127" s="630"/>
      <c r="EH127" s="630"/>
      <c r="EI127" s="662"/>
      <c r="EJ127" s="661"/>
      <c r="EK127" s="630"/>
      <c r="EL127" s="630"/>
      <c r="EM127" s="662"/>
      <c r="EN127" s="661"/>
      <c r="EO127" s="630"/>
      <c r="EP127" s="630"/>
      <c r="EQ127" s="662"/>
      <c r="ER127" s="661"/>
      <c r="ES127" s="630"/>
      <c r="ET127" s="630"/>
      <c r="EU127" s="662"/>
      <c r="EW127" s="661"/>
      <c r="EX127" s="630"/>
      <c r="EY127" s="630"/>
      <c r="EZ127" s="662"/>
      <c r="FA127" s="661"/>
      <c r="FB127" s="630"/>
      <c r="FC127" s="630"/>
      <c r="FD127" s="662"/>
    </row>
    <row r="128" spans="1:160">
      <c r="A128" s="753" t="s">
        <v>23</v>
      </c>
      <c r="B128" s="774">
        <v>2050</v>
      </c>
      <c r="C128" s="775">
        <f>+C127</f>
        <v>1225927.95624999</v>
      </c>
      <c r="D128" s="775">
        <f>+D127</f>
        <v>445791.98409090913</v>
      </c>
      <c r="E128" s="775">
        <f t="shared" si="72"/>
        <v>780135.97215908091</v>
      </c>
      <c r="F128" s="757">
        <f>+C$29*E128+D128</f>
        <v>591100.22485974093</v>
      </c>
      <c r="G128" s="775">
        <f>+G127</f>
        <v>289601.87386363448</v>
      </c>
      <c r="H128" s="775">
        <f>+H127</f>
        <v>115840.74954545456</v>
      </c>
      <c r="I128" s="775">
        <f t="shared" si="73"/>
        <v>173761.12431817991</v>
      </c>
      <c r="J128" s="757">
        <f>+G$29*I128+H128</f>
        <v>148205.52208479901</v>
      </c>
      <c r="K128" s="776">
        <f>+K127</f>
        <v>534484.58198863268</v>
      </c>
      <c r="L128" s="775">
        <f>+L127</f>
        <v>305419.76113636367</v>
      </c>
      <c r="M128" s="775">
        <f t="shared" si="74"/>
        <v>229064.82085226901</v>
      </c>
      <c r="N128" s="757">
        <f>+K$29*M128+L128</f>
        <v>348085.40831572941</v>
      </c>
      <c r="O128" s="776">
        <f>+O127</f>
        <v>457379.21969696641</v>
      </c>
      <c r="P128" s="775">
        <f>+P127</f>
        <v>119316.31818181818</v>
      </c>
      <c r="Q128" s="775">
        <f t="shared" si="75"/>
        <v>338062.90151514823</v>
      </c>
      <c r="R128" s="757">
        <f>+O$29*Q128+P128</f>
        <v>182283.96387622296</v>
      </c>
      <c r="S128" s="661">
        <f>+S127</f>
        <v>126350.69515151205</v>
      </c>
      <c r="T128" s="630">
        <f>+T127</f>
        <v>58315.705454545445</v>
      </c>
      <c r="U128" s="630">
        <f t="shared" si="76"/>
        <v>68034.989696966601</v>
      </c>
      <c r="V128" s="662">
        <f>+S$29*U128+T128</f>
        <v>70987.912629188984</v>
      </c>
      <c r="W128" s="661">
        <f>+W127</f>
        <v>2657625.5189394043</v>
      </c>
      <c r="X128" s="630">
        <f>+X127</f>
        <v>693293.61363636365</v>
      </c>
      <c r="Y128" s="630">
        <f t="shared" si="77"/>
        <v>1964331.9053030405</v>
      </c>
      <c r="Z128" s="662">
        <f>+W$29*Y128+X128</f>
        <v>1059170.3628595981</v>
      </c>
      <c r="AA128" s="661">
        <f>+AA127</f>
        <v>1765763.7405303009</v>
      </c>
      <c r="AB128" s="630">
        <f>+AB127</f>
        <v>450833.29545454547</v>
      </c>
      <c r="AC128" s="630">
        <f t="shared" si="78"/>
        <v>1314930.4450757555</v>
      </c>
      <c r="AD128" s="662">
        <f>+AA$29*AC128+AB128</f>
        <v>695752.43330500869</v>
      </c>
      <c r="AE128" s="661">
        <f>+AE127</f>
        <v>16092.602272727338</v>
      </c>
      <c r="AF128" s="630">
        <f>+AF127</f>
        <v>4597.886363636364</v>
      </c>
      <c r="AG128" s="630">
        <f t="shared" si="79"/>
        <v>11494.715909090974</v>
      </c>
      <c r="AH128" s="662">
        <f>+AE$29*AG128+AF128</f>
        <v>6738.8938373270139</v>
      </c>
      <c r="AI128" s="661">
        <f>+AI127</f>
        <v>1428479.2537878838</v>
      </c>
      <c r="AJ128" s="630">
        <f>+AJ127</f>
        <v>295547.43181818182</v>
      </c>
      <c r="AK128" s="630">
        <f t="shared" si="83"/>
        <v>1132931.8219697019</v>
      </c>
      <c r="AL128" s="662">
        <f>+AI$29*AK128+AJ128</f>
        <v>506567.47939506173</v>
      </c>
      <c r="AM128" s="661">
        <f>+AM127</f>
        <v>498901.1205681822</v>
      </c>
      <c r="AN128" s="630">
        <f>+AN127</f>
        <v>110866.91568181818</v>
      </c>
      <c r="AO128" s="630">
        <f t="shared" si="80"/>
        <v>388034.20488636405</v>
      </c>
      <c r="AP128" s="662">
        <f>+AM$29*AO128+AN128</f>
        <v>183142.22368245013</v>
      </c>
      <c r="AQ128" s="661">
        <f>+AQ127</f>
        <v>4298428.1270454554</v>
      </c>
      <c r="AR128" s="630">
        <f>+AR127</f>
        <v>904932.23727272719</v>
      </c>
      <c r="AS128" s="630">
        <f t="shared" si="81"/>
        <v>3393495.8897727281</v>
      </c>
      <c r="AT128" s="662">
        <f>+AQ$29*AS128+AR128</f>
        <v>1537005.2801737485</v>
      </c>
      <c r="AU128" s="775"/>
      <c r="AV128" s="775"/>
      <c r="AW128" s="775"/>
      <c r="AX128" s="757"/>
      <c r="AY128" s="775"/>
      <c r="AZ128" s="775"/>
      <c r="BA128" s="775"/>
      <c r="BB128" s="757"/>
      <c r="BC128" s="775"/>
      <c r="BD128" s="775"/>
      <c r="BE128" s="775"/>
      <c r="BF128" s="757"/>
      <c r="BG128" s="775"/>
      <c r="BH128" s="775"/>
      <c r="BI128" s="775"/>
      <c r="BJ128" s="757"/>
      <c r="BK128" s="775"/>
      <c r="BL128" s="775"/>
      <c r="BM128" s="775"/>
      <c r="BN128" s="757"/>
      <c r="BO128" s="775"/>
      <c r="BP128" s="775"/>
      <c r="BQ128" s="775"/>
      <c r="BR128" s="757"/>
      <c r="BS128" s="661">
        <f>+BS127</f>
        <v>41554.431818182071</v>
      </c>
      <c r="BT128" s="630">
        <f>+BT127</f>
        <v>8310.886363636364</v>
      </c>
      <c r="BU128" s="630">
        <f t="shared" si="82"/>
        <v>33243.545454545703</v>
      </c>
      <c r="BV128" s="662">
        <f>+BS$29*BU128+BT128</f>
        <v>14502.834023157582</v>
      </c>
      <c r="BW128" s="661">
        <f>+BW127</f>
        <v>3028416.4431818333</v>
      </c>
      <c r="BX128" s="630">
        <f>+BX127</f>
        <v>576841.22727272729</v>
      </c>
      <c r="BY128" s="630">
        <f t="shared" si="84"/>
        <v>2451575.2159091057</v>
      </c>
      <c r="BZ128" s="662">
        <f>+BW$29*BY128+BX128</f>
        <v>1013973.1039696943</v>
      </c>
      <c r="CA128" s="661">
        <f>+CA127</f>
        <v>285778.08000000141</v>
      </c>
      <c r="CB128" s="630">
        <f>+CB127</f>
        <v>54433.919999999998</v>
      </c>
      <c r="CC128" s="630">
        <f t="shared" si="85"/>
        <v>231344.16000000143</v>
      </c>
      <c r="CD128" s="662">
        <f>+CA$29*CC128+CB128</f>
        <v>97524.117223835405</v>
      </c>
      <c r="CE128" s="661">
        <f>+CE127</f>
        <v>24806.402727272936</v>
      </c>
      <c r="CF128" s="630">
        <f>+CF127</f>
        <v>4725.0290909090909</v>
      </c>
      <c r="CG128" s="630">
        <f t="shared" si="86"/>
        <v>20081.373636363845</v>
      </c>
      <c r="CH128" s="662">
        <f>+CE$29*CG128+CF128</f>
        <v>8465.3886941791334</v>
      </c>
      <c r="CI128" s="661">
        <f>+CI127</f>
        <v>77267.04545454515</v>
      </c>
      <c r="CJ128" s="630">
        <f>+CJ127</f>
        <v>12362.727272727272</v>
      </c>
      <c r="CK128" s="630">
        <f t="shared" si="87"/>
        <v>64904.318181817878</v>
      </c>
      <c r="CL128" s="662">
        <f>+CI$29*CK128+CJ128</f>
        <v>23935.591212793726</v>
      </c>
      <c r="CM128" s="661">
        <f>+CM127</f>
        <v>4957839.4008522853</v>
      </c>
      <c r="CN128" s="630">
        <f>+CN127</f>
        <v>483691.64886363636</v>
      </c>
      <c r="CO128" s="630">
        <f t="shared" si="88"/>
        <v>4474147.7519886494</v>
      </c>
      <c r="CP128" s="662">
        <f>+CM$29*CO128+CN128</f>
        <v>1281461.4218465376</v>
      </c>
      <c r="CQ128" s="661">
        <f>+CQ127</f>
        <v>21690661.616420463</v>
      </c>
      <c r="CR128" s="630">
        <f>+CR127</f>
        <v>2017735.9643181816</v>
      </c>
      <c r="CS128" s="630">
        <f t="shared" si="89"/>
        <v>19672925.65210228</v>
      </c>
      <c r="CT128" s="662">
        <f>+CQ$29*CS128+CR128</f>
        <v>5525547.1277763676</v>
      </c>
      <c r="CU128" s="661">
        <f>+CU127</f>
        <v>7438149.0975000188</v>
      </c>
      <c r="CV128" s="630">
        <f>+CV127</f>
        <v>676195.37250000006</v>
      </c>
      <c r="CW128" s="630">
        <f t="shared" si="90"/>
        <v>6761953.7250000183</v>
      </c>
      <c r="CX128" s="662">
        <f>+CU$29*CW128+CV128</f>
        <v>1881895.8962961647</v>
      </c>
      <c r="CY128" s="782">
        <f t="shared" si="91"/>
        <v>6487440.7401425354</v>
      </c>
      <c r="CZ128" s="779">
        <f>+CY128</f>
        <v>6487440.7401425354</v>
      </c>
      <c r="DA128" s="752"/>
      <c r="DD128" s="661"/>
      <c r="DE128" s="630"/>
      <c r="DF128" s="630"/>
      <c r="DG128" s="662"/>
      <c r="DH128" s="661"/>
      <c r="DI128" s="630"/>
      <c r="DJ128" s="630"/>
      <c r="DK128" s="662"/>
      <c r="DL128" s="661"/>
      <c r="DM128" s="630"/>
      <c r="DN128" s="630"/>
      <c r="DO128" s="662"/>
      <c r="DP128" s="661"/>
      <c r="DQ128" s="630"/>
      <c r="DR128" s="630"/>
      <c r="DS128" s="662"/>
      <c r="DT128" s="661"/>
      <c r="DU128" s="630"/>
      <c r="DV128" s="630"/>
      <c r="DW128" s="662"/>
      <c r="DX128" s="661"/>
      <c r="DY128" s="630"/>
      <c r="DZ128" s="630"/>
      <c r="EA128" s="662"/>
      <c r="EB128" s="661"/>
      <c r="EC128" s="630"/>
      <c r="ED128" s="630"/>
      <c r="EE128" s="662"/>
      <c r="EF128" s="661"/>
      <c r="EG128" s="630"/>
      <c r="EH128" s="630"/>
      <c r="EI128" s="662"/>
      <c r="EJ128" s="661"/>
      <c r="EK128" s="630"/>
      <c r="EL128" s="630"/>
      <c r="EM128" s="662"/>
      <c r="EN128" s="661"/>
      <c r="EO128" s="630"/>
      <c r="EP128" s="630"/>
      <c r="EQ128" s="662"/>
      <c r="ER128" s="661"/>
      <c r="ES128" s="630"/>
      <c r="ET128" s="630"/>
      <c r="EU128" s="662"/>
      <c r="EW128" s="661"/>
      <c r="EX128" s="630"/>
      <c r="EY128" s="630"/>
      <c r="EZ128" s="662"/>
      <c r="FA128" s="661"/>
      <c r="FB128" s="630"/>
      <c r="FC128" s="630"/>
      <c r="FD128" s="662"/>
    </row>
    <row r="129" spans="1:160">
      <c r="A129" s="753" t="s">
        <v>24</v>
      </c>
      <c r="B129" s="774">
        <v>2051</v>
      </c>
      <c r="C129" s="775">
        <f>+E128</f>
        <v>780135.97215908091</v>
      </c>
      <c r="D129" s="775">
        <f>+C$31</f>
        <v>445791.98409090913</v>
      </c>
      <c r="E129" s="775">
        <f t="shared" si="72"/>
        <v>334343.98806817178</v>
      </c>
      <c r="F129" s="757">
        <f>+C$28*E129+D129</f>
        <v>505407.70137266151</v>
      </c>
      <c r="G129" s="775">
        <f>+I128</f>
        <v>173761.12431817991</v>
      </c>
      <c r="H129" s="775">
        <f>+G$31</f>
        <v>115840.74954545456</v>
      </c>
      <c r="I129" s="775">
        <f t="shared" si="73"/>
        <v>57920.37477272535</v>
      </c>
      <c r="J129" s="757">
        <f>+G$28*I129+H129</f>
        <v>126168.33075083244</v>
      </c>
      <c r="K129" s="776">
        <f>+M128</f>
        <v>229064.82085226901</v>
      </c>
      <c r="L129" s="775">
        <f>+M127</f>
        <v>229064.82085226901</v>
      </c>
      <c r="M129" s="775">
        <f t="shared" si="74"/>
        <v>0</v>
      </c>
      <c r="N129" s="757">
        <f>+K$28*M129+L129</f>
        <v>229064.82085226901</v>
      </c>
      <c r="O129" s="776">
        <f>+Q128</f>
        <v>338062.90151514823</v>
      </c>
      <c r="P129" s="775">
        <f>+O$31</f>
        <v>119316.31818181818</v>
      </c>
      <c r="Q129" s="775">
        <f t="shared" si="75"/>
        <v>218746.58333333005</v>
      </c>
      <c r="R129" s="757">
        <f>+O$28*Q129+P129</f>
        <v>158320.2630222743</v>
      </c>
      <c r="S129" s="661">
        <f>+U128</f>
        <v>68034.989696966601</v>
      </c>
      <c r="T129" s="630">
        <f>+S$31</f>
        <v>58315.705454545445</v>
      </c>
      <c r="U129" s="630">
        <f t="shared" si="76"/>
        <v>9719.2842424211558</v>
      </c>
      <c r="V129" s="662">
        <f>+S$28*U129+T129</f>
        <v>60048.717329306681</v>
      </c>
      <c r="W129" s="661">
        <f>+Y128</f>
        <v>1964331.9053030405</v>
      </c>
      <c r="X129" s="630">
        <f>+W$31</f>
        <v>693293.61363636365</v>
      </c>
      <c r="Y129" s="630">
        <f t="shared" si="77"/>
        <v>1271038.2916666768</v>
      </c>
      <c r="Z129" s="662">
        <f>+W$28*Y129+X129</f>
        <v>919928.04450530466</v>
      </c>
      <c r="AA129" s="661">
        <f>+AC128</f>
        <v>1314930.4450757555</v>
      </c>
      <c r="AB129" s="630">
        <f>+AA$31</f>
        <v>450833.29545454547</v>
      </c>
      <c r="AC129" s="630">
        <f t="shared" si="78"/>
        <v>864097.14962121006</v>
      </c>
      <c r="AD129" s="662">
        <f>+AA$28*AC129+AB129</f>
        <v>604907.46222342015</v>
      </c>
      <c r="AE129" s="661">
        <f>+AG128</f>
        <v>11494.715909090974</v>
      </c>
      <c r="AF129" s="630">
        <f>+AE$31</f>
        <v>4597.886363636364</v>
      </c>
      <c r="AG129" s="630">
        <f t="shared" si="79"/>
        <v>6896.8295454546096</v>
      </c>
      <c r="AH129" s="662">
        <f>+AE$28*AG129+AF129</f>
        <v>5827.6361273390821</v>
      </c>
      <c r="AI129" s="661">
        <f>+AK128</f>
        <v>1132931.8219697019</v>
      </c>
      <c r="AJ129" s="630">
        <f>+AI$31</f>
        <v>295547.43181818182</v>
      </c>
      <c r="AK129" s="630">
        <f t="shared" si="83"/>
        <v>837384.39015152003</v>
      </c>
      <c r="AL129" s="662">
        <f>+AI$28*AK129+AJ129</f>
        <v>444858.53906395298</v>
      </c>
      <c r="AM129" s="661">
        <f>+AO128</f>
        <v>388034.20488636405</v>
      </c>
      <c r="AN129" s="630">
        <f>+AM$31</f>
        <v>110866.91568181818</v>
      </c>
      <c r="AO129" s="630">
        <f t="shared" si="80"/>
        <v>277167.2892045459</v>
      </c>
      <c r="AP129" s="662">
        <f>+AM$28*AO129+AN129</f>
        <v>160287.65403108619</v>
      </c>
      <c r="AQ129" s="661">
        <f>+AS128</f>
        <v>3393495.8897727281</v>
      </c>
      <c r="AR129" s="630">
        <f>+AQ$31</f>
        <v>904932.23727272719</v>
      </c>
      <c r="AS129" s="630">
        <f t="shared" si="81"/>
        <v>2488563.6525000008</v>
      </c>
      <c r="AT129" s="662">
        <f>+AQ$28*AS129+AR129</f>
        <v>1348659.3938526607</v>
      </c>
      <c r="AU129" s="775"/>
      <c r="AV129" s="775"/>
      <c r="AW129" s="775"/>
      <c r="AX129" s="757"/>
      <c r="AY129" s="775"/>
      <c r="AZ129" s="775"/>
      <c r="BA129" s="775"/>
      <c r="BB129" s="757"/>
      <c r="BC129" s="775"/>
      <c r="BD129" s="775"/>
      <c r="BE129" s="775"/>
      <c r="BF129" s="757"/>
      <c r="BG129" s="775"/>
      <c r="BH129" s="775"/>
      <c r="BI129" s="775"/>
      <c r="BJ129" s="757"/>
      <c r="BK129" s="775"/>
      <c r="BL129" s="775"/>
      <c r="BM129" s="775"/>
      <c r="BN129" s="757"/>
      <c r="BO129" s="775"/>
      <c r="BP129" s="775"/>
      <c r="BQ129" s="775"/>
      <c r="BR129" s="757"/>
      <c r="BS129" s="661">
        <f>+BU128</f>
        <v>33243.545454545703</v>
      </c>
      <c r="BT129" s="630">
        <f>+BS$31</f>
        <v>8310.886363636364</v>
      </c>
      <c r="BU129" s="630">
        <f t="shared" si="82"/>
        <v>24932.659090909339</v>
      </c>
      <c r="BV129" s="662">
        <f>+BS$28*BU129+BT129</f>
        <v>12756.542360127307</v>
      </c>
      <c r="BW129" s="661">
        <f>+BY128</f>
        <v>2451575.2159091057</v>
      </c>
      <c r="BX129" s="630">
        <f>+BW$31</f>
        <v>576841.22727272729</v>
      </c>
      <c r="BY129" s="630">
        <f t="shared" si="84"/>
        <v>1874733.9886363784</v>
      </c>
      <c r="BZ129" s="662">
        <f>+BW$28*BY129+BX129</f>
        <v>911118.54474687914</v>
      </c>
      <c r="CA129" s="661">
        <f>+CC128</f>
        <v>231344.16000000143</v>
      </c>
      <c r="CB129" s="630">
        <f>+CA$31</f>
        <v>54433.919999999998</v>
      </c>
      <c r="CC129" s="630">
        <f t="shared" si="85"/>
        <v>176910.24000000145</v>
      </c>
      <c r="CD129" s="662">
        <f>+CA$28*CC129+CB129</f>
        <v>85978.171514810005</v>
      </c>
      <c r="CE129" s="661">
        <f>+CG128</f>
        <v>20081.373636363845</v>
      </c>
      <c r="CF129" s="630">
        <f>+CE$31</f>
        <v>4725.0290909090909</v>
      </c>
      <c r="CG129" s="630">
        <f t="shared" si="86"/>
        <v>15356.344545454755</v>
      </c>
      <c r="CH129" s="662">
        <f>+CE$28*CG129+CF129</f>
        <v>7463.165643603279</v>
      </c>
      <c r="CI129" s="661">
        <f>+CK128</f>
        <v>64904.318181817878</v>
      </c>
      <c r="CJ129" s="630">
        <f>+CI$31</f>
        <v>12362.727272727272</v>
      </c>
      <c r="CK129" s="630">
        <f t="shared" si="87"/>
        <v>52541.590909090606</v>
      </c>
      <c r="CL129" s="662">
        <f>+CI$28*CK129+CJ129</f>
        <v>21731.236176590581</v>
      </c>
      <c r="CM129" s="661">
        <f>+CO128</f>
        <v>4474147.7519886494</v>
      </c>
      <c r="CN129" s="630">
        <f>+CM$31</f>
        <v>483691.64886363636</v>
      </c>
      <c r="CO129" s="630">
        <f t="shared" si="88"/>
        <v>3990456.1031250129</v>
      </c>
      <c r="CP129" s="662">
        <f>+CM$28*CO129+CN129</f>
        <v>1195216.0409835214</v>
      </c>
      <c r="CQ129" s="661">
        <f>+CS128</f>
        <v>19672925.65210228</v>
      </c>
      <c r="CR129" s="630">
        <f>+CQ$31</f>
        <v>2017735.9643181816</v>
      </c>
      <c r="CS129" s="630">
        <f t="shared" si="89"/>
        <v>17655189.687784098</v>
      </c>
      <c r="CT129" s="662">
        <f>+CQ$28*CS129+CR129</f>
        <v>5165771.623831938</v>
      </c>
      <c r="CU129" s="661">
        <f>+CW128</f>
        <v>6761953.7250000183</v>
      </c>
      <c r="CV129" s="630">
        <f>+CU$31</f>
        <v>676195.37250000006</v>
      </c>
      <c r="CW129" s="630">
        <f t="shared" si="90"/>
        <v>6085758.3525000177</v>
      </c>
      <c r="CX129" s="662">
        <f>+CU$28*CW129+CV129</f>
        <v>1761325.8439165486</v>
      </c>
      <c r="CY129" s="782">
        <f t="shared" si="91"/>
        <v>5602526.2235731184</v>
      </c>
      <c r="CZ129" s="756"/>
      <c r="DA129" s="778">
        <f>+CY129</f>
        <v>5602526.2235731184</v>
      </c>
      <c r="DD129" s="661"/>
      <c r="DE129" s="630"/>
      <c r="DF129" s="630"/>
      <c r="DG129" s="662"/>
      <c r="DH129" s="661"/>
      <c r="DI129" s="630"/>
      <c r="DJ129" s="630"/>
      <c r="DK129" s="662"/>
      <c r="DL129" s="661"/>
      <c r="DM129" s="630"/>
      <c r="DN129" s="630"/>
      <c r="DO129" s="662"/>
      <c r="DP129" s="661"/>
      <c r="DQ129" s="630"/>
      <c r="DR129" s="630"/>
      <c r="DS129" s="662"/>
      <c r="DT129" s="661"/>
      <c r="DU129" s="630"/>
      <c r="DV129" s="630"/>
      <c r="DW129" s="662"/>
      <c r="DX129" s="661"/>
      <c r="DY129" s="630"/>
      <c r="DZ129" s="630"/>
      <c r="EA129" s="662"/>
      <c r="EB129" s="661"/>
      <c r="EC129" s="630"/>
      <c r="ED129" s="630"/>
      <c r="EE129" s="662"/>
      <c r="EF129" s="661"/>
      <c r="EG129" s="630"/>
      <c r="EH129" s="630"/>
      <c r="EI129" s="662"/>
      <c r="EJ129" s="661"/>
      <c r="EK129" s="630"/>
      <c r="EL129" s="630"/>
      <c r="EM129" s="662"/>
      <c r="EN129" s="661"/>
      <c r="EO129" s="630"/>
      <c r="EP129" s="630"/>
      <c r="EQ129" s="662"/>
      <c r="ER129" s="661"/>
      <c r="ES129" s="630"/>
      <c r="ET129" s="630"/>
      <c r="EU129" s="662"/>
      <c r="EW129" s="661"/>
      <c r="EX129" s="630"/>
      <c r="EY129" s="630"/>
      <c r="EZ129" s="662"/>
      <c r="FA129" s="661"/>
      <c r="FB129" s="630"/>
      <c r="FC129" s="630"/>
      <c r="FD129" s="662"/>
    </row>
    <row r="130" spans="1:160">
      <c r="A130" s="753" t="s">
        <v>23</v>
      </c>
      <c r="B130" s="774">
        <v>2051</v>
      </c>
      <c r="C130" s="775">
        <f>+C129</f>
        <v>780135.97215908091</v>
      </c>
      <c r="D130" s="775">
        <f>+D129</f>
        <v>445791.98409090913</v>
      </c>
      <c r="E130" s="775">
        <f>+C130-D130</f>
        <v>334343.98806817178</v>
      </c>
      <c r="F130" s="757">
        <f>+C$29*E130+D130</f>
        <v>508066.94442040741</v>
      </c>
      <c r="G130" s="775">
        <f>+G129</f>
        <v>173761.12431817991</v>
      </c>
      <c r="H130" s="775">
        <f>+H129</f>
        <v>115840.74954545456</v>
      </c>
      <c r="I130" s="775">
        <f>+G130-H130</f>
        <v>57920.37477272535</v>
      </c>
      <c r="J130" s="757">
        <f>+G$29*I130+H130</f>
        <v>126629.00705856913</v>
      </c>
      <c r="K130" s="776">
        <f>+K129</f>
        <v>229064.82085226901</v>
      </c>
      <c r="L130" s="775">
        <f>+L129</f>
        <v>229064.82085226901</v>
      </c>
      <c r="M130" s="775">
        <f t="shared" si="74"/>
        <v>0</v>
      </c>
      <c r="N130" s="757">
        <f>+K$29*M130+L130</f>
        <v>229064.82085226901</v>
      </c>
      <c r="O130" s="776">
        <f>+O129</f>
        <v>338062.90151514823</v>
      </c>
      <c r="P130" s="775">
        <f>+P129</f>
        <v>119316.31818181818</v>
      </c>
      <c r="Q130" s="775">
        <f t="shared" si="75"/>
        <v>218746.58333333005</v>
      </c>
      <c r="R130" s="757">
        <f>+O$29*Q130+P130</f>
        <v>160060.08892525634</v>
      </c>
      <c r="S130" s="661">
        <f>+S129</f>
        <v>68034.989696966601</v>
      </c>
      <c r="T130" s="630">
        <f>+T129</f>
        <v>58315.705454545445</v>
      </c>
      <c r="U130" s="630">
        <f t="shared" si="76"/>
        <v>9719.2842424211558</v>
      </c>
      <c r="V130" s="662">
        <f>+S$29*U130+T130</f>
        <v>60126.020765208312</v>
      </c>
      <c r="W130" s="661">
        <f>+W129</f>
        <v>1964331.9053030405</v>
      </c>
      <c r="X130" s="630">
        <f>+X129</f>
        <v>693293.61363636365</v>
      </c>
      <c r="Y130" s="630">
        <f t="shared" si="77"/>
        <v>1271038.2916666768</v>
      </c>
      <c r="Z130" s="662">
        <f>+W$29*Y130+X130</f>
        <v>930037.39254551614</v>
      </c>
      <c r="AA130" s="661">
        <f>+AA129</f>
        <v>1314930.4450757555</v>
      </c>
      <c r="AB130" s="630">
        <f>+AB129</f>
        <v>450833.29545454547</v>
      </c>
      <c r="AC130" s="630">
        <f t="shared" si="78"/>
        <v>864097.14962121006</v>
      </c>
      <c r="AD130" s="662">
        <f>+AA$29*AC130+AB130</f>
        <v>611780.15747056401</v>
      </c>
      <c r="AE130" s="661">
        <f>+AE129</f>
        <v>11494.715909090974</v>
      </c>
      <c r="AF130" s="630">
        <f>+AF129</f>
        <v>4597.886363636364</v>
      </c>
      <c r="AG130" s="630">
        <f t="shared" si="79"/>
        <v>6896.8295454546096</v>
      </c>
      <c r="AH130" s="662">
        <f>+AE$29*AG130+AF130</f>
        <v>5882.4908478507587</v>
      </c>
      <c r="AI130" s="661">
        <f>+AI129</f>
        <v>1132931.8219697019</v>
      </c>
      <c r="AJ130" s="630">
        <f>+AJ129</f>
        <v>295547.43181818182</v>
      </c>
      <c r="AK130" s="630">
        <f t="shared" si="83"/>
        <v>837384.39015152003</v>
      </c>
      <c r="AL130" s="662">
        <f>+AI$29*AK130+AJ130</f>
        <v>451518.77133152809</v>
      </c>
      <c r="AM130" s="661">
        <f>+AM129</f>
        <v>388034.20488636405</v>
      </c>
      <c r="AN130" s="630">
        <f>+AN129</f>
        <v>110866.91568181818</v>
      </c>
      <c r="AO130" s="630">
        <f t="shared" si="80"/>
        <v>277167.2892045459</v>
      </c>
      <c r="AP130" s="662">
        <f>+AM$29*AO130+AN130</f>
        <v>162492.13568226958</v>
      </c>
      <c r="AQ130" s="661">
        <f>+AQ129</f>
        <v>3393495.8897727281</v>
      </c>
      <c r="AR130" s="630">
        <f>+AR129</f>
        <v>904932.23727272719</v>
      </c>
      <c r="AS130" s="630">
        <f t="shared" si="81"/>
        <v>2488563.6525000008</v>
      </c>
      <c r="AT130" s="662">
        <f>+AQ$29*AS130+AR130</f>
        <v>1368452.4687334762</v>
      </c>
      <c r="AU130" s="775"/>
      <c r="AV130" s="775"/>
      <c r="AW130" s="775"/>
      <c r="AX130" s="757"/>
      <c r="AY130" s="775"/>
      <c r="AZ130" s="775"/>
      <c r="BA130" s="775"/>
      <c r="BB130" s="757"/>
      <c r="BC130" s="775"/>
      <c r="BD130" s="775"/>
      <c r="BE130" s="775"/>
      <c r="BF130" s="757"/>
      <c r="BG130" s="775"/>
      <c r="BH130" s="775"/>
      <c r="BI130" s="775"/>
      <c r="BJ130" s="757"/>
      <c r="BK130" s="775"/>
      <c r="BL130" s="775"/>
      <c r="BM130" s="775"/>
      <c r="BN130" s="757"/>
      <c r="BO130" s="775"/>
      <c r="BP130" s="775"/>
      <c r="BQ130" s="775"/>
      <c r="BR130" s="757"/>
      <c r="BS130" s="661">
        <f>+BS129</f>
        <v>33243.545454545703</v>
      </c>
      <c r="BT130" s="630">
        <f>+BT129</f>
        <v>8310.886363636364</v>
      </c>
      <c r="BU130" s="630">
        <f t="shared" si="82"/>
        <v>24932.659090909339</v>
      </c>
      <c r="BV130" s="662">
        <f>+BS$29*BU130+BT130</f>
        <v>12954.847108277288</v>
      </c>
      <c r="BW130" s="661">
        <f>+BW129</f>
        <v>2451575.2159091057</v>
      </c>
      <c r="BX130" s="630">
        <f>+BX129</f>
        <v>576841.22727272729</v>
      </c>
      <c r="BY130" s="630">
        <f t="shared" si="84"/>
        <v>1874733.9886363784</v>
      </c>
      <c r="BZ130" s="662">
        <f>+BW$29*BY130+BX130</f>
        <v>911118.54474687914</v>
      </c>
      <c r="CA130" s="661">
        <f>+CA129</f>
        <v>231344.16000000143</v>
      </c>
      <c r="CB130" s="630">
        <f>+CB129</f>
        <v>54433.919999999998</v>
      </c>
      <c r="CC130" s="630">
        <f t="shared" si="85"/>
        <v>176910.24000000145</v>
      </c>
      <c r="CD130" s="662">
        <f>+CA$29*CC130+CB130</f>
        <v>87385.247288815372</v>
      </c>
      <c r="CE130" s="661">
        <f>+CE129</f>
        <v>20081.373636363845</v>
      </c>
      <c r="CF130" s="630">
        <f>+CF129</f>
        <v>4725.0290909090909</v>
      </c>
      <c r="CG130" s="630">
        <f t="shared" si="86"/>
        <v>15356.344545454755</v>
      </c>
      <c r="CH130" s="662">
        <f>+CE$29*CG130+CF130</f>
        <v>7585.3040816450157</v>
      </c>
      <c r="CI130" s="661">
        <f>+CI129</f>
        <v>64904.318181817878</v>
      </c>
      <c r="CJ130" s="630">
        <f>+CJ129</f>
        <v>12362.727272727272</v>
      </c>
      <c r="CK130" s="630">
        <f t="shared" si="87"/>
        <v>52541.590909090606</v>
      </c>
      <c r="CL130" s="662">
        <f>+CI$29*CK130+CJ130</f>
        <v>21731.236176590581</v>
      </c>
      <c r="CM130" s="661">
        <f>+CM129</f>
        <v>4474147.7519886494</v>
      </c>
      <c r="CN130" s="630">
        <f>+CN129</f>
        <v>483691.64886363636</v>
      </c>
      <c r="CO130" s="630">
        <f t="shared" si="88"/>
        <v>3990456.1031250129</v>
      </c>
      <c r="CP130" s="662">
        <f>+CM$29*CO130+CN130</f>
        <v>1195216.0409835214</v>
      </c>
      <c r="CQ130" s="661">
        <f>+CQ129</f>
        <v>19672925.65210228</v>
      </c>
      <c r="CR130" s="630">
        <f>+CR129</f>
        <v>2017735.9643181816</v>
      </c>
      <c r="CS130" s="630">
        <f t="shared" si="89"/>
        <v>17655189.687784098</v>
      </c>
      <c r="CT130" s="662">
        <f>+CQ$29*CS130+CR130</f>
        <v>5165771.623831938</v>
      </c>
      <c r="CU130" s="661">
        <f>+CU129</f>
        <v>6761953.7250000183</v>
      </c>
      <c r="CV130" s="630">
        <f>+CV129</f>
        <v>676195.37250000006</v>
      </c>
      <c r="CW130" s="630">
        <f t="shared" si="90"/>
        <v>6085758.3525000177</v>
      </c>
      <c r="CX130" s="662">
        <f>+CU$29*CW130+CV130</f>
        <v>1761325.8439165486</v>
      </c>
      <c r="CY130" s="782">
        <f t="shared" si="91"/>
        <v>5654885.4780351231</v>
      </c>
      <c r="CZ130" s="779">
        <f>+CY130</f>
        <v>5654885.4780351231</v>
      </c>
      <c r="DA130" s="752"/>
      <c r="DD130" s="661"/>
      <c r="DE130" s="630"/>
      <c r="DF130" s="630"/>
      <c r="DG130" s="662"/>
      <c r="DH130" s="661"/>
      <c r="DI130" s="630"/>
      <c r="DJ130" s="630"/>
      <c r="DK130" s="662"/>
      <c r="DL130" s="661"/>
      <c r="DM130" s="630"/>
      <c r="DN130" s="630"/>
      <c r="DO130" s="662"/>
      <c r="DP130" s="661"/>
      <c r="DQ130" s="630"/>
      <c r="DR130" s="630"/>
      <c r="DS130" s="662"/>
      <c r="DT130" s="661"/>
      <c r="DU130" s="630"/>
      <c r="DV130" s="630"/>
      <c r="DW130" s="662"/>
      <c r="DX130" s="661"/>
      <c r="DY130" s="630"/>
      <c r="DZ130" s="630"/>
      <c r="EA130" s="662"/>
      <c r="EB130" s="661"/>
      <c r="EC130" s="630"/>
      <c r="ED130" s="630"/>
      <c r="EE130" s="662"/>
      <c r="EF130" s="661"/>
      <c r="EG130" s="630"/>
      <c r="EH130" s="630"/>
      <c r="EI130" s="662"/>
      <c r="EJ130" s="661"/>
      <c r="EK130" s="630"/>
      <c r="EL130" s="630"/>
      <c r="EM130" s="662"/>
      <c r="EN130" s="661"/>
      <c r="EO130" s="630"/>
      <c r="EP130" s="630"/>
      <c r="EQ130" s="662"/>
      <c r="ER130" s="661"/>
      <c r="ES130" s="630"/>
      <c r="ET130" s="630"/>
      <c r="EU130" s="662"/>
      <c r="EW130" s="661"/>
      <c r="EX130" s="630"/>
      <c r="EY130" s="630"/>
      <c r="EZ130" s="662"/>
      <c r="FA130" s="661"/>
      <c r="FB130" s="630"/>
      <c r="FC130" s="630"/>
      <c r="FD130" s="662"/>
    </row>
    <row r="131" spans="1:160">
      <c r="A131" s="753" t="s">
        <v>24</v>
      </c>
      <c r="B131" s="774">
        <v>2052</v>
      </c>
      <c r="C131" s="775">
        <f>+E130</f>
        <v>334343.98806817178</v>
      </c>
      <c r="D131" s="775">
        <f>+C$31</f>
        <v>445791.98409090913</v>
      </c>
      <c r="E131" s="775">
        <f>+C131-D131</f>
        <v>-111447.99602273735</v>
      </c>
      <c r="F131" s="757">
        <f>+C$28*E131+D131</f>
        <v>425920.07833032263</v>
      </c>
      <c r="G131" s="775">
        <f>+I130</f>
        <v>57920.37477272535</v>
      </c>
      <c r="H131" s="775">
        <f>+G$31</f>
        <v>115840.74954545456</v>
      </c>
      <c r="I131" s="775">
        <f>+G131-H131</f>
        <v>-57920.374772729207</v>
      </c>
      <c r="J131" s="757">
        <f>+G$28*I131+H131</f>
        <v>105513.16834007599</v>
      </c>
      <c r="K131" s="776"/>
      <c r="L131" s="775"/>
      <c r="M131" s="775"/>
      <c r="N131" s="757"/>
      <c r="O131" s="776">
        <f>+Q130</f>
        <v>218746.58333333005</v>
      </c>
      <c r="P131" s="775">
        <f>+O$31</f>
        <v>119316.31818181818</v>
      </c>
      <c r="Q131" s="775">
        <f t="shared" si="75"/>
        <v>99430.265151511878</v>
      </c>
      <c r="R131" s="757">
        <f>+O$28*Q131+P131</f>
        <v>137045.38401838881</v>
      </c>
      <c r="S131" s="661">
        <f>+U130</f>
        <v>9719.2842424211558</v>
      </c>
      <c r="T131" s="630">
        <f>+S$31</f>
        <v>58315.705454545445</v>
      </c>
      <c r="U131" s="630">
        <f t="shared" si="76"/>
        <v>-48596.421212124289</v>
      </c>
      <c r="V131" s="662">
        <f>+S$28*U131+T131</f>
        <v>49650.646080735969</v>
      </c>
      <c r="W131" s="661">
        <f>+Y130</f>
        <v>1271038.2916666768</v>
      </c>
      <c r="X131" s="630">
        <f>+W$31</f>
        <v>693293.61363636365</v>
      </c>
      <c r="Y131" s="630">
        <f t="shared" si="77"/>
        <v>577744.67803031311</v>
      </c>
      <c r="Z131" s="662">
        <f>+W$28*Y131+X131</f>
        <v>796309.26403133781</v>
      </c>
      <c r="AA131" s="661">
        <f>+AC130</f>
        <v>864097.14962121006</v>
      </c>
      <c r="AB131" s="630">
        <f>+AA$31</f>
        <v>450833.29545454547</v>
      </c>
      <c r="AC131" s="630">
        <f t="shared" si="78"/>
        <v>413263.85416666459</v>
      </c>
      <c r="AD131" s="662">
        <f>+AA$28*AC131+AB131</f>
        <v>524520.94043096364</v>
      </c>
      <c r="AE131" s="661">
        <f>+AG130</f>
        <v>6896.8295454546096</v>
      </c>
      <c r="AF131" s="630">
        <f>+AE$31</f>
        <v>4597.886363636364</v>
      </c>
      <c r="AG131" s="630">
        <f t="shared" si="79"/>
        <v>2298.9431818182456</v>
      </c>
      <c r="AH131" s="662">
        <f>+AE$28*AG131+AF131</f>
        <v>5007.8029515372773</v>
      </c>
      <c r="AI131" s="661">
        <f>+AK130</f>
        <v>837384.39015152003</v>
      </c>
      <c r="AJ131" s="630">
        <f>+AI$31</f>
        <v>295547.43181818182</v>
      </c>
      <c r="AK131" s="630">
        <f t="shared" si="83"/>
        <v>541836.95833333815</v>
      </c>
      <c r="AL131" s="662">
        <f>+AI$28*AK131+AJ131</f>
        <v>392160.50121250463</v>
      </c>
      <c r="AM131" s="661">
        <f>+AO130</f>
        <v>277167.2892045459</v>
      </c>
      <c r="AN131" s="630">
        <f>+AM$31</f>
        <v>110866.91568181818</v>
      </c>
      <c r="AO131" s="630">
        <f t="shared" si="80"/>
        <v>166300.37352272772</v>
      </c>
      <c r="AP131" s="662">
        <f>+AM$28*AO131+AN131</f>
        <v>140519.35869137902</v>
      </c>
      <c r="AQ131" s="661">
        <f>+AS130</f>
        <v>2488563.6525000008</v>
      </c>
      <c r="AR131" s="630">
        <f>+AQ$31</f>
        <v>904932.23727272719</v>
      </c>
      <c r="AS131" s="630">
        <f t="shared" si="81"/>
        <v>1583631.4152272735</v>
      </c>
      <c r="AT131" s="662">
        <f>+AQ$28*AS131+AR131</f>
        <v>1187304.0641872303</v>
      </c>
      <c r="AU131" s="775"/>
      <c r="AV131" s="775"/>
      <c r="AW131" s="775"/>
      <c r="AX131" s="757"/>
      <c r="AY131" s="775"/>
      <c r="AZ131" s="775"/>
      <c r="BA131" s="775"/>
      <c r="BB131" s="757"/>
      <c r="BC131" s="775"/>
      <c r="BD131" s="775"/>
      <c r="BE131" s="775"/>
      <c r="BF131" s="757"/>
      <c r="BG131" s="775"/>
      <c r="BH131" s="775"/>
      <c r="BI131" s="775"/>
      <c r="BJ131" s="757"/>
      <c r="BK131" s="775"/>
      <c r="BL131" s="775"/>
      <c r="BM131" s="775"/>
      <c r="BN131" s="757"/>
      <c r="BO131" s="775"/>
      <c r="BP131" s="775"/>
      <c r="BQ131" s="775"/>
      <c r="BR131" s="757"/>
      <c r="BS131" s="661">
        <f>+BU130</f>
        <v>24932.659090909339</v>
      </c>
      <c r="BT131" s="630">
        <f>+BS$31</f>
        <v>8310.886363636364</v>
      </c>
      <c r="BU131" s="630">
        <f t="shared" si="82"/>
        <v>16621.772727272975</v>
      </c>
      <c r="BV131" s="662">
        <f>+BS$28*BU131+BT131</f>
        <v>11274.657027963674</v>
      </c>
      <c r="BW131" s="661">
        <f>+BY130</f>
        <v>1874733.9886363784</v>
      </c>
      <c r="BX131" s="630">
        <f>+BW$31</f>
        <v>576841.22727272729</v>
      </c>
      <c r="BY131" s="630">
        <f t="shared" si="84"/>
        <v>1297892.7613636511</v>
      </c>
      <c r="BZ131" s="662">
        <f>+BW$28*BY131+BX131</f>
        <v>808263.98552406393</v>
      </c>
      <c r="CA131" s="661">
        <f>+CC130</f>
        <v>176910.24000000145</v>
      </c>
      <c r="CB131" s="630">
        <f>+CA$31</f>
        <v>54433.919999999998</v>
      </c>
      <c r="CC131" s="630">
        <f t="shared" si="85"/>
        <v>122476.32000000145</v>
      </c>
      <c r="CD131" s="662">
        <f>+CA$28*CC131+CB131</f>
        <v>76272.247971791614</v>
      </c>
      <c r="CE131" s="661">
        <f>+CG130</f>
        <v>15356.344545454755</v>
      </c>
      <c r="CF131" s="630">
        <f>+CE$31</f>
        <v>4725.0290909090909</v>
      </c>
      <c r="CG131" s="630">
        <f t="shared" si="86"/>
        <v>10631.315454545664</v>
      </c>
      <c r="CH131" s="662">
        <f>+CE$28*CG131+CF131</f>
        <v>6620.6620889281558</v>
      </c>
      <c r="CI131" s="661">
        <f>+CK130</f>
        <v>52541.590909090606</v>
      </c>
      <c r="CJ131" s="630">
        <f>+CI$31</f>
        <v>12362.727272727272</v>
      </c>
      <c r="CK131" s="630">
        <f t="shared" si="87"/>
        <v>40178.863636363334</v>
      </c>
      <c r="CL131" s="662">
        <f>+CI$28*CK131+CJ131</f>
        <v>19526.881140387439</v>
      </c>
      <c r="CM131" s="661">
        <f>+CO130</f>
        <v>3990456.1031250129</v>
      </c>
      <c r="CN131" s="630">
        <f>+CM$31</f>
        <v>483691.64886363636</v>
      </c>
      <c r="CO131" s="630">
        <f t="shared" si="88"/>
        <v>3506764.4542613765</v>
      </c>
      <c r="CP131" s="662">
        <f>+CM$28*CO131+CN131</f>
        <v>1108970.6601205054</v>
      </c>
      <c r="CQ131" s="661">
        <f>+CS130</f>
        <v>17655189.687784098</v>
      </c>
      <c r="CR131" s="630">
        <f>+CQ$31</f>
        <v>2017735.9643181816</v>
      </c>
      <c r="CS131" s="630">
        <f t="shared" si="89"/>
        <v>15637453.723465916</v>
      </c>
      <c r="CT131" s="662">
        <f>+CQ$28*CS131+CR131</f>
        <v>4805996.1198875085</v>
      </c>
      <c r="CU131" s="661">
        <f>+CW130</f>
        <v>6085758.3525000177</v>
      </c>
      <c r="CV131" s="630">
        <f>+CU$31</f>
        <v>676195.37250000006</v>
      </c>
      <c r="CW131" s="630">
        <f t="shared" si="90"/>
        <v>5409562.9800000172</v>
      </c>
      <c r="CX131" s="662">
        <f>+CU$28*CW131+CV131</f>
        <v>1640755.7915369323</v>
      </c>
      <c r="CY131" s="782">
        <f t="shared" si="91"/>
        <v>4685909.6420276109</v>
      </c>
      <c r="CZ131" s="756"/>
      <c r="DA131" s="778">
        <f>+CY131</f>
        <v>4685909.6420276109</v>
      </c>
      <c r="DD131" s="661"/>
      <c r="DE131" s="630"/>
      <c r="DF131" s="630"/>
      <c r="DG131" s="662"/>
      <c r="DH131" s="661"/>
      <c r="DI131" s="630"/>
      <c r="DJ131" s="630"/>
      <c r="DK131" s="662"/>
      <c r="DL131" s="661"/>
      <c r="DM131" s="630"/>
      <c r="DN131" s="630"/>
      <c r="DO131" s="662"/>
      <c r="DP131" s="661"/>
      <c r="DQ131" s="630"/>
      <c r="DR131" s="630"/>
      <c r="DS131" s="662"/>
      <c r="DT131" s="661"/>
      <c r="DU131" s="630"/>
      <c r="DV131" s="630"/>
      <c r="DW131" s="662"/>
      <c r="DX131" s="661"/>
      <c r="DY131" s="630"/>
      <c r="DZ131" s="630"/>
      <c r="EA131" s="662"/>
      <c r="EB131" s="661"/>
      <c r="EC131" s="630"/>
      <c r="ED131" s="630"/>
      <c r="EE131" s="662"/>
      <c r="EF131" s="661"/>
      <c r="EG131" s="630"/>
      <c r="EH131" s="630"/>
      <c r="EI131" s="662"/>
      <c r="EJ131" s="661"/>
      <c r="EK131" s="630"/>
      <c r="EL131" s="630"/>
      <c r="EM131" s="662"/>
      <c r="EN131" s="661"/>
      <c r="EO131" s="630"/>
      <c r="EP131" s="630"/>
      <c r="EQ131" s="662"/>
      <c r="ER131" s="661"/>
      <c r="ES131" s="630"/>
      <c r="ET131" s="630"/>
      <c r="EU131" s="662"/>
      <c r="EW131" s="661"/>
      <c r="EX131" s="630"/>
      <c r="EY131" s="630"/>
      <c r="EZ131" s="662"/>
      <c r="FA131" s="661"/>
      <c r="FB131" s="630"/>
      <c r="FC131" s="630"/>
      <c r="FD131" s="662"/>
    </row>
    <row r="132" spans="1:160">
      <c r="A132" s="753" t="s">
        <v>23</v>
      </c>
      <c r="B132" s="774">
        <v>2052</v>
      </c>
      <c r="C132" s="775">
        <f>+C131</f>
        <v>334343.98806817178</v>
      </c>
      <c r="D132" s="775">
        <f>+D131</f>
        <v>445791.98409090913</v>
      </c>
      <c r="E132" s="775">
        <f>+C132-D132</f>
        <v>-111447.99602273735</v>
      </c>
      <c r="F132" s="757">
        <f>+C$29*E132+D132</f>
        <v>425033.66398107389</v>
      </c>
      <c r="G132" s="775">
        <f>+G131</f>
        <v>57920.37477272535</v>
      </c>
      <c r="H132" s="775">
        <f>+H131</f>
        <v>115840.74954545456</v>
      </c>
      <c r="I132" s="775">
        <f>+G132-H132</f>
        <v>-57920.374772729207</v>
      </c>
      <c r="J132" s="757">
        <f>+G$29*I132+H132</f>
        <v>105052.49203233926</v>
      </c>
      <c r="K132" s="776"/>
      <c r="L132" s="775"/>
      <c r="M132" s="775"/>
      <c r="N132" s="757"/>
      <c r="O132" s="776">
        <f>+O131</f>
        <v>218746.58333333005</v>
      </c>
      <c r="P132" s="775">
        <f>+P131</f>
        <v>119316.31818181818</v>
      </c>
      <c r="Q132" s="775">
        <f t="shared" si="75"/>
        <v>99430.265151511878</v>
      </c>
      <c r="R132" s="757">
        <f>+O$29*Q132+P132</f>
        <v>137836.21397428974</v>
      </c>
      <c r="S132" s="661">
        <f>+S131</f>
        <v>9719.2842424211558</v>
      </c>
      <c r="T132" s="630">
        <f>+T131</f>
        <v>58315.705454545445</v>
      </c>
      <c r="U132" s="630">
        <f t="shared" si="76"/>
        <v>-48596.421212124289</v>
      </c>
      <c r="V132" s="662">
        <f>+S$29*U132+T132</f>
        <v>49264.128901227647</v>
      </c>
      <c r="W132" s="661">
        <f>+W131</f>
        <v>1271038.2916666768</v>
      </c>
      <c r="X132" s="630">
        <f>+X131</f>
        <v>693293.61363636365</v>
      </c>
      <c r="Y132" s="630">
        <f t="shared" si="77"/>
        <v>577744.67803031311</v>
      </c>
      <c r="Z132" s="662">
        <f>+W$29*Y132+X132</f>
        <v>800904.42223143391</v>
      </c>
      <c r="AA132" s="661">
        <f>+AA131</f>
        <v>864097.14962121006</v>
      </c>
      <c r="AB132" s="630">
        <f>+AB131</f>
        <v>450833.29545454547</v>
      </c>
      <c r="AC132" s="630">
        <f t="shared" si="78"/>
        <v>413263.85416666459</v>
      </c>
      <c r="AD132" s="662">
        <f>+AA$29*AC132+AB132</f>
        <v>527807.88163611933</v>
      </c>
      <c r="AE132" s="661">
        <f>+AE131</f>
        <v>6896.8295454546096</v>
      </c>
      <c r="AF132" s="630">
        <f>+AF131</f>
        <v>4597.886363636364</v>
      </c>
      <c r="AG132" s="630">
        <f t="shared" si="79"/>
        <v>2298.9431818182456</v>
      </c>
      <c r="AH132" s="662">
        <f>+AE$29*AG132+AF132</f>
        <v>5026.0878583745034</v>
      </c>
      <c r="AI132" s="661">
        <f>+AI131</f>
        <v>837384.39015152003</v>
      </c>
      <c r="AJ132" s="630">
        <f>+AJ131</f>
        <v>295547.43181818182</v>
      </c>
      <c r="AK132" s="630">
        <f t="shared" si="83"/>
        <v>541836.95833333815</v>
      </c>
      <c r="AL132" s="662">
        <f>+AI$29*AK132+AJ132</f>
        <v>396470.06326799444</v>
      </c>
      <c r="AM132" s="661">
        <f>+AM131</f>
        <v>277167.2892045459</v>
      </c>
      <c r="AN132" s="630">
        <f>+AN131</f>
        <v>110866.91568181818</v>
      </c>
      <c r="AO132" s="630">
        <f t="shared" si="80"/>
        <v>166300.37352272772</v>
      </c>
      <c r="AP132" s="662">
        <f>+AM$29*AO132+AN132</f>
        <v>141842.04768208906</v>
      </c>
      <c r="AQ132" s="661">
        <f>+AQ131</f>
        <v>2488563.6525000008</v>
      </c>
      <c r="AR132" s="630">
        <f>+AR131</f>
        <v>904932.23727272719</v>
      </c>
      <c r="AS132" s="630">
        <f t="shared" si="81"/>
        <v>1583631.4152272735</v>
      </c>
      <c r="AT132" s="662">
        <f>+AQ$29*AS132+AR132</f>
        <v>1199899.6572932038</v>
      </c>
      <c r="AU132" s="775"/>
      <c r="AV132" s="775"/>
      <c r="AW132" s="775"/>
      <c r="AX132" s="757"/>
      <c r="AY132" s="775"/>
      <c r="AZ132" s="775"/>
      <c r="BA132" s="775"/>
      <c r="BB132" s="757"/>
      <c r="BC132" s="775"/>
      <c r="BD132" s="775"/>
      <c r="BE132" s="775"/>
      <c r="BF132" s="757"/>
      <c r="BG132" s="775"/>
      <c r="BH132" s="775"/>
      <c r="BI132" s="775"/>
      <c r="BJ132" s="757"/>
      <c r="BK132" s="775"/>
      <c r="BL132" s="775"/>
      <c r="BM132" s="775"/>
      <c r="BN132" s="757"/>
      <c r="BO132" s="775"/>
      <c r="BP132" s="775"/>
      <c r="BQ132" s="775"/>
      <c r="BR132" s="757"/>
      <c r="BS132" s="661">
        <f>+BS131</f>
        <v>24932.659090909339</v>
      </c>
      <c r="BT132" s="630">
        <f>+BT131</f>
        <v>8310.886363636364</v>
      </c>
      <c r="BU132" s="630">
        <f t="shared" si="82"/>
        <v>16621.772727272975</v>
      </c>
      <c r="BV132" s="662">
        <f>+BS$29*BU132+BT132</f>
        <v>11406.860193396997</v>
      </c>
      <c r="BW132" s="661">
        <f>+BW131</f>
        <v>1874733.9886363784</v>
      </c>
      <c r="BX132" s="630">
        <f>+BX131</f>
        <v>576841.22727272729</v>
      </c>
      <c r="BY132" s="630">
        <f t="shared" si="84"/>
        <v>1297892.7613636511</v>
      </c>
      <c r="BZ132" s="662">
        <f>+BW$29*BY132+BX132</f>
        <v>808263.98552406393</v>
      </c>
      <c r="CA132" s="661">
        <f>+CA131</f>
        <v>176910.24000000145</v>
      </c>
      <c r="CB132" s="630">
        <f>+CB131</f>
        <v>54433.919999999998</v>
      </c>
      <c r="CC132" s="630">
        <f t="shared" si="85"/>
        <v>122476.32000000145</v>
      </c>
      <c r="CD132" s="662">
        <f>+CA$29*CC132+CB132</f>
        <v>77246.377353795338</v>
      </c>
      <c r="CE132" s="661">
        <f>+CE131</f>
        <v>15356.344545454755</v>
      </c>
      <c r="CF132" s="630">
        <f>+CF131</f>
        <v>4725.0290909090909</v>
      </c>
      <c r="CG132" s="630">
        <f t="shared" si="86"/>
        <v>10631.315454545664</v>
      </c>
      <c r="CH132" s="662">
        <f>+CE$29*CG132+CF132</f>
        <v>6705.2194691108971</v>
      </c>
      <c r="CI132" s="661">
        <f>+CI131</f>
        <v>52541.590909090606</v>
      </c>
      <c r="CJ132" s="630">
        <f>+CJ131</f>
        <v>12362.727272727272</v>
      </c>
      <c r="CK132" s="630">
        <f t="shared" si="87"/>
        <v>40178.863636363334</v>
      </c>
      <c r="CL132" s="662">
        <f>+CI$29*CK132+CJ132</f>
        <v>19526.881140387439</v>
      </c>
      <c r="CM132" s="661">
        <f>+CM131</f>
        <v>3990456.1031250129</v>
      </c>
      <c r="CN132" s="630">
        <f>+CN131</f>
        <v>483691.64886363636</v>
      </c>
      <c r="CO132" s="630">
        <f t="shared" si="88"/>
        <v>3506764.4542613765</v>
      </c>
      <c r="CP132" s="662">
        <f>+CM$29*CO132+CN132</f>
        <v>1108970.6601205054</v>
      </c>
      <c r="CQ132" s="661">
        <f>+CQ131</f>
        <v>17655189.687784098</v>
      </c>
      <c r="CR132" s="630">
        <f>+CR131</f>
        <v>2017735.9643181816</v>
      </c>
      <c r="CS132" s="630">
        <f t="shared" si="89"/>
        <v>15637453.723465916</v>
      </c>
      <c r="CT132" s="662">
        <f>+CQ$29*CS132+CR132</f>
        <v>4805996.1198875085</v>
      </c>
      <c r="CU132" s="661">
        <f>+CU131</f>
        <v>6085758.3525000177</v>
      </c>
      <c r="CV132" s="630">
        <f>+CV131</f>
        <v>676195.37250000006</v>
      </c>
      <c r="CW132" s="630">
        <f t="shared" si="90"/>
        <v>5409562.9800000172</v>
      </c>
      <c r="CX132" s="662">
        <f>+CU$29*CW132+CV132</f>
        <v>1640755.7915369323</v>
      </c>
      <c r="CY132" s="782">
        <f t="shared" si="91"/>
        <v>4712285.9825388994</v>
      </c>
      <c r="CZ132" s="779">
        <f>+CY132</f>
        <v>4712285.9825388994</v>
      </c>
      <c r="DA132" s="752"/>
      <c r="DD132" s="661"/>
      <c r="DE132" s="630"/>
      <c r="DF132" s="630"/>
      <c r="DG132" s="662"/>
      <c r="DH132" s="661"/>
      <c r="DI132" s="630"/>
      <c r="DJ132" s="630"/>
      <c r="DK132" s="662"/>
      <c r="DL132" s="661"/>
      <c r="DM132" s="630"/>
      <c r="DN132" s="630"/>
      <c r="DO132" s="662"/>
      <c r="DP132" s="661"/>
      <c r="DQ132" s="630"/>
      <c r="DR132" s="630"/>
      <c r="DS132" s="662"/>
      <c r="DT132" s="661"/>
      <c r="DU132" s="630"/>
      <c r="DV132" s="630"/>
      <c r="DW132" s="662"/>
      <c r="DX132" s="661"/>
      <c r="DY132" s="630"/>
      <c r="DZ132" s="630"/>
      <c r="EA132" s="662"/>
      <c r="EB132" s="661"/>
      <c r="EC132" s="630"/>
      <c r="ED132" s="630"/>
      <c r="EE132" s="662"/>
      <c r="EF132" s="661"/>
      <c r="EG132" s="630"/>
      <c r="EH132" s="630"/>
      <c r="EI132" s="662"/>
      <c r="EJ132" s="661"/>
      <c r="EK132" s="630"/>
      <c r="EL132" s="630"/>
      <c r="EM132" s="662"/>
      <c r="EN132" s="661"/>
      <c r="EO132" s="630"/>
      <c r="EP132" s="630"/>
      <c r="EQ132" s="662"/>
      <c r="ER132" s="661"/>
      <c r="ES132" s="630"/>
      <c r="ET132" s="630"/>
      <c r="EU132" s="662"/>
      <c r="EW132" s="661"/>
      <c r="EX132" s="630"/>
      <c r="EY132" s="630"/>
      <c r="EZ132" s="662"/>
      <c r="FA132" s="661"/>
      <c r="FB132" s="630"/>
      <c r="FC132" s="630"/>
      <c r="FD132" s="662"/>
    </row>
    <row r="133" spans="1:160">
      <c r="A133" s="753" t="s">
        <v>24</v>
      </c>
      <c r="B133" s="774">
        <v>2053</v>
      </c>
      <c r="C133" s="775"/>
      <c r="D133" s="775"/>
      <c r="E133" s="775"/>
      <c r="F133" s="757"/>
      <c r="G133" s="775"/>
      <c r="H133" s="775"/>
      <c r="I133" s="775"/>
      <c r="J133" s="757"/>
      <c r="K133" s="762"/>
      <c r="L133" s="762"/>
      <c r="M133" s="762"/>
      <c r="N133" s="757"/>
      <c r="O133" s="776">
        <f>+Q132</f>
        <v>99430.265151511878</v>
      </c>
      <c r="P133" s="775">
        <f>+O$31</f>
        <v>119316.31818181818</v>
      </c>
      <c r="Q133" s="775">
        <f t="shared" ref="Q133:Q134" si="92">+O133-P133</f>
        <v>-19886.053030306299</v>
      </c>
      <c r="R133" s="757">
        <f>+O$28*Q133+P133</f>
        <v>115770.50501450335</v>
      </c>
      <c r="S133" s="661"/>
      <c r="T133" s="630"/>
      <c r="U133" s="630"/>
      <c r="V133" s="662"/>
      <c r="W133" s="661">
        <f>+Y132</f>
        <v>577744.67803031311</v>
      </c>
      <c r="X133" s="630">
        <f>+W$31</f>
        <v>693293.61363636365</v>
      </c>
      <c r="Y133" s="630">
        <f t="shared" ref="Y133:Y134" si="93">+W133-X133</f>
        <v>-115548.93560605054</v>
      </c>
      <c r="Z133" s="662">
        <f>+W$28*Y133+X133</f>
        <v>672690.48355737096</v>
      </c>
      <c r="AA133" s="661">
        <f>+AC132</f>
        <v>413263.85416666459</v>
      </c>
      <c r="AB133" s="630">
        <f>+AA$31</f>
        <v>450833.29545454547</v>
      </c>
      <c r="AC133" s="630">
        <f t="shared" ref="AC133:AC134" si="94">+AA133-AB133</f>
        <v>-37569.44128788088</v>
      </c>
      <c r="AD133" s="662">
        <f>+AA$28*AC133+AB133</f>
        <v>444134.41863850708</v>
      </c>
      <c r="AE133" s="661">
        <f>+AG132</f>
        <v>2298.9431818182456</v>
      </c>
      <c r="AF133" s="630">
        <f>+AE$31</f>
        <v>4597.886363636364</v>
      </c>
      <c r="AG133" s="630">
        <f t="shared" ref="AG133:AG134" si="95">+AE133-AF133</f>
        <v>-2298.9431818181183</v>
      </c>
      <c r="AH133" s="662">
        <f>+AE$28*AG133+AF133</f>
        <v>4187.9697757354734</v>
      </c>
      <c r="AI133" s="661">
        <f>+AK132</f>
        <v>541836.95833333815</v>
      </c>
      <c r="AJ133" s="630">
        <f>+AI$31</f>
        <v>295547.43181818182</v>
      </c>
      <c r="AK133" s="630">
        <f t="shared" ref="AK133:AK134" si="96">+AI133-AJ133</f>
        <v>246289.52651515632</v>
      </c>
      <c r="AL133" s="662">
        <f>+AI$28*AK133+AJ133</f>
        <v>339462.46336105629</v>
      </c>
      <c r="AM133" s="661">
        <f>+AO132</f>
        <v>166300.37352272772</v>
      </c>
      <c r="AN133" s="630">
        <f>+AM$31</f>
        <v>110866.91568181818</v>
      </c>
      <c r="AO133" s="630">
        <f t="shared" ref="AO133:AO134" si="97">+AM133-AN133</f>
        <v>55433.457840909541</v>
      </c>
      <c r="AP133" s="662">
        <f>+AM$28*AO133+AN133</f>
        <v>120751.06335167185</v>
      </c>
      <c r="AQ133" s="661">
        <f>+AS132</f>
        <v>1583631.4152272735</v>
      </c>
      <c r="AR133" s="630">
        <f>+AQ$31</f>
        <v>904932.23727272719</v>
      </c>
      <c r="AS133" s="630">
        <f t="shared" ref="AS133:AS134" si="98">+AQ133-AR133</f>
        <v>678699.17795454629</v>
      </c>
      <c r="AT133" s="662">
        <f>+AQ$28*AS133+AR133</f>
        <v>1025948.7345218001</v>
      </c>
      <c r="AU133" s="775"/>
      <c r="AV133" s="775"/>
      <c r="AW133" s="775"/>
      <c r="AX133" s="757"/>
      <c r="AY133" s="775"/>
      <c r="AZ133" s="775"/>
      <c r="BA133" s="775"/>
      <c r="BB133" s="757"/>
      <c r="BC133" s="775"/>
      <c r="BD133" s="775"/>
      <c r="BE133" s="775"/>
      <c r="BF133" s="757"/>
      <c r="BG133" s="775"/>
      <c r="BH133" s="775"/>
      <c r="BI133" s="775"/>
      <c r="BJ133" s="757"/>
      <c r="BK133" s="775"/>
      <c r="BL133" s="775"/>
      <c r="BM133" s="775"/>
      <c r="BN133" s="757"/>
      <c r="BO133" s="775"/>
      <c r="BP133" s="775"/>
      <c r="BQ133" s="775"/>
      <c r="BR133" s="757"/>
      <c r="BS133" s="661">
        <f>+BU132</f>
        <v>16621.772727272975</v>
      </c>
      <c r="BT133" s="630">
        <f>+BS$31</f>
        <v>8310.886363636364</v>
      </c>
      <c r="BU133" s="630">
        <f t="shared" ref="BU133:BU134" si="99">+BS133-BT133</f>
        <v>8310.8863636366113</v>
      </c>
      <c r="BV133" s="662">
        <f>+BS$28*BU133+BT133</f>
        <v>9792.7716958000419</v>
      </c>
      <c r="BW133" s="661">
        <f>+BY132</f>
        <v>1297892.7613636511</v>
      </c>
      <c r="BX133" s="630">
        <f>+BW$31</f>
        <v>576841.22727272729</v>
      </c>
      <c r="BY133" s="630">
        <f t="shared" ref="BY133:BY134" si="100">+BW133-BX133</f>
        <v>721051.53409092384</v>
      </c>
      <c r="BZ133" s="662">
        <f>+BW$28*BY133+BX133</f>
        <v>705409.42630124884</v>
      </c>
      <c r="CA133" s="661">
        <f>+CC132</f>
        <v>122476.32000000145</v>
      </c>
      <c r="CB133" s="630">
        <f>+CA$31</f>
        <v>54433.919999999998</v>
      </c>
      <c r="CC133" s="630">
        <f t="shared" ref="CC133:CC134" si="101">+CA133-CB133</f>
        <v>68042.400000001449</v>
      </c>
      <c r="CD133" s="662">
        <f>+CA$28*CC133+CB133</f>
        <v>66566.324428773238</v>
      </c>
      <c r="CE133" s="661">
        <f>+CG132</f>
        <v>10631.315454545664</v>
      </c>
      <c r="CF133" s="630">
        <f>+CE$31</f>
        <v>4725.0290909090909</v>
      </c>
      <c r="CG133" s="630">
        <f t="shared" ref="CG133:CG134" si="102">+CE133-CF133</f>
        <v>5906.2863636365728</v>
      </c>
      <c r="CH133" s="662">
        <f>+CE$28*CG133+CF133</f>
        <v>5778.1585342530325</v>
      </c>
      <c r="CI133" s="661">
        <f>+CK132</f>
        <v>40178.863636363334</v>
      </c>
      <c r="CJ133" s="630">
        <f>+CI$31</f>
        <v>12362.727272727272</v>
      </c>
      <c r="CK133" s="630">
        <f t="shared" ref="CK133:CK134" si="103">+CI133-CJ133</f>
        <v>27816.136363636062</v>
      </c>
      <c r="CL133" s="662">
        <f>+CI$28*CK133+CJ133</f>
        <v>17322.526104184293</v>
      </c>
      <c r="CM133" s="661">
        <f>+CO132</f>
        <v>3506764.4542613765</v>
      </c>
      <c r="CN133" s="630">
        <f>+CM$31</f>
        <v>483691.64886363636</v>
      </c>
      <c r="CO133" s="630">
        <f t="shared" ref="CO133:CO134" si="104">+CM133-CN133</f>
        <v>3023072.8053977401</v>
      </c>
      <c r="CP133" s="662">
        <f>+CM$28*CO133+CN133</f>
        <v>1022725.2792574891</v>
      </c>
      <c r="CQ133" s="661">
        <f>+CS132</f>
        <v>15637453.723465916</v>
      </c>
      <c r="CR133" s="630">
        <f>+CQ$31</f>
        <v>2017735.9643181816</v>
      </c>
      <c r="CS133" s="630">
        <f t="shared" ref="CS133:CS134" si="105">+CQ133-CR133</f>
        <v>13619717.759147733</v>
      </c>
      <c r="CT133" s="662">
        <f>+CQ$28*CS133+CR133</f>
        <v>4446220.6159430798</v>
      </c>
      <c r="CU133" s="661">
        <f>+CW132</f>
        <v>5409562.9800000172</v>
      </c>
      <c r="CV133" s="630">
        <f>+CU$31</f>
        <v>676195.37250000006</v>
      </c>
      <c r="CW133" s="630">
        <f t="shared" ref="CW133:CW134" si="106">+CU133-CV133</f>
        <v>4733367.6075000167</v>
      </c>
      <c r="CX133" s="662">
        <f>+CU$28*CW133+CV133</f>
        <v>1520185.739157316</v>
      </c>
      <c r="CY133" s="782">
        <f t="shared" si="91"/>
        <v>3527814.8452849044</v>
      </c>
      <c r="CZ133" s="756"/>
      <c r="DA133" s="778">
        <f>+CY133</f>
        <v>3527814.8452849044</v>
      </c>
      <c r="DD133" s="661"/>
      <c r="DE133" s="630"/>
      <c r="DF133" s="630"/>
      <c r="DG133" s="662"/>
      <c r="DH133" s="661"/>
      <c r="DI133" s="630"/>
      <c r="DJ133" s="630"/>
      <c r="DK133" s="662"/>
      <c r="DL133" s="661"/>
      <c r="DM133" s="630"/>
      <c r="DN133" s="630"/>
      <c r="DO133" s="662"/>
      <c r="DP133" s="661"/>
      <c r="DQ133" s="630"/>
      <c r="DR133" s="630"/>
      <c r="DS133" s="662"/>
      <c r="DT133" s="661"/>
      <c r="DU133" s="630"/>
      <c r="DV133" s="630"/>
      <c r="DW133" s="662"/>
      <c r="DX133" s="661"/>
      <c r="DY133" s="630"/>
      <c r="DZ133" s="630"/>
      <c r="EA133" s="662"/>
      <c r="EB133" s="661"/>
      <c r="EC133" s="630"/>
      <c r="ED133" s="630"/>
      <c r="EE133" s="662"/>
      <c r="EF133" s="661"/>
      <c r="EG133" s="630"/>
      <c r="EH133" s="630"/>
      <c r="EI133" s="662"/>
      <c r="EJ133" s="661"/>
      <c r="EK133" s="630"/>
      <c r="EL133" s="630"/>
      <c r="EM133" s="662"/>
      <c r="EN133" s="661"/>
      <c r="EO133" s="630"/>
      <c r="EP133" s="630"/>
      <c r="EQ133" s="662"/>
      <c r="ER133" s="661"/>
      <c r="ES133" s="630"/>
      <c r="ET133" s="630"/>
      <c r="EU133" s="662"/>
      <c r="EW133" s="661"/>
      <c r="EX133" s="630"/>
      <c r="EY133" s="630"/>
      <c r="EZ133" s="662"/>
      <c r="FA133" s="661"/>
      <c r="FB133" s="630"/>
      <c r="FC133" s="630"/>
      <c r="FD133" s="662"/>
    </row>
    <row r="134" spans="1:160">
      <c r="A134" s="753" t="s">
        <v>23</v>
      </c>
      <c r="B134" s="774">
        <v>2053</v>
      </c>
      <c r="C134" s="775"/>
      <c r="D134" s="775"/>
      <c r="E134" s="775"/>
      <c r="F134" s="757"/>
      <c r="G134" s="775"/>
      <c r="H134" s="775"/>
      <c r="I134" s="775"/>
      <c r="J134" s="757"/>
      <c r="K134" s="762"/>
      <c r="L134" s="762"/>
      <c r="M134" s="762"/>
      <c r="N134" s="757"/>
      <c r="O134" s="776">
        <f>+O133</f>
        <v>99430.265151511878</v>
      </c>
      <c r="P134" s="775">
        <f>+P133</f>
        <v>119316.31818181818</v>
      </c>
      <c r="Q134" s="775">
        <f t="shared" si="92"/>
        <v>-19886.053030306299</v>
      </c>
      <c r="R134" s="757">
        <f>+O$29*Q134+P134</f>
        <v>115612.33902332313</v>
      </c>
      <c r="S134" s="661"/>
      <c r="T134" s="630"/>
      <c r="U134" s="630"/>
      <c r="V134" s="662"/>
      <c r="W134" s="661">
        <f>+W133</f>
        <v>577744.67803031311</v>
      </c>
      <c r="X134" s="630">
        <f>+X133</f>
        <v>693293.61363636365</v>
      </c>
      <c r="Y134" s="630">
        <f t="shared" si="93"/>
        <v>-115548.93560605054</v>
      </c>
      <c r="Z134" s="662">
        <f>+W$29*Y134+X134</f>
        <v>671771.45191735181</v>
      </c>
      <c r="AA134" s="661">
        <f>+AA133</f>
        <v>413263.85416666459</v>
      </c>
      <c r="AB134" s="630">
        <f>+AB133</f>
        <v>450833.29545454547</v>
      </c>
      <c r="AC134" s="630">
        <f t="shared" si="94"/>
        <v>-37569.44128788088</v>
      </c>
      <c r="AD134" s="662">
        <f>+AA$29*AC134+AB134</f>
        <v>443835.60580167471</v>
      </c>
      <c r="AE134" s="661">
        <f>+AE133</f>
        <v>2298.9431818182456</v>
      </c>
      <c r="AF134" s="630">
        <f>+AF133</f>
        <v>4597.886363636364</v>
      </c>
      <c r="AG134" s="630">
        <f t="shared" si="95"/>
        <v>-2298.9431818181183</v>
      </c>
      <c r="AH134" s="662">
        <f>+AE$29*AG134+AF134</f>
        <v>4169.6848688982482</v>
      </c>
      <c r="AI134" s="661">
        <f>+AI133</f>
        <v>541836.95833333815</v>
      </c>
      <c r="AJ134" s="630">
        <f>+AJ133</f>
        <v>295547.43181818182</v>
      </c>
      <c r="AK134" s="630">
        <f t="shared" si="96"/>
        <v>246289.52651515632</v>
      </c>
      <c r="AL134" s="662">
        <f>+AI$29*AK134+AJ134</f>
        <v>341421.35520446079</v>
      </c>
      <c r="AM134" s="661">
        <f>+AM133</f>
        <v>166300.37352272772</v>
      </c>
      <c r="AN134" s="630">
        <f>+AN133</f>
        <v>110866.91568181818</v>
      </c>
      <c r="AO134" s="630">
        <f t="shared" si="97"/>
        <v>55433.457840909541</v>
      </c>
      <c r="AP134" s="662">
        <f>+AM$29*AO134+AN134</f>
        <v>121191.95968190853</v>
      </c>
      <c r="AQ134" s="661">
        <f>+AQ133</f>
        <v>1583631.4152272735</v>
      </c>
      <c r="AR134" s="630">
        <f>+AR133</f>
        <v>904932.23727272719</v>
      </c>
      <c r="AS134" s="630">
        <f t="shared" si="98"/>
        <v>678699.17795454629</v>
      </c>
      <c r="AT134" s="662">
        <f>+AQ$29*AS134+AR134</f>
        <v>1031346.8458529316</v>
      </c>
      <c r="AU134" s="775"/>
      <c r="AV134" s="775"/>
      <c r="AW134" s="775"/>
      <c r="AX134" s="757"/>
      <c r="AY134" s="775"/>
      <c r="AZ134" s="775"/>
      <c r="BA134" s="775"/>
      <c r="BB134" s="757"/>
      <c r="BC134" s="775"/>
      <c r="BD134" s="775"/>
      <c r="BE134" s="775"/>
      <c r="BF134" s="757"/>
      <c r="BG134" s="775"/>
      <c r="BH134" s="775"/>
      <c r="BI134" s="775"/>
      <c r="BJ134" s="757"/>
      <c r="BK134" s="775"/>
      <c r="BL134" s="775"/>
      <c r="BM134" s="775"/>
      <c r="BN134" s="757"/>
      <c r="BO134" s="775"/>
      <c r="BP134" s="775"/>
      <c r="BQ134" s="775"/>
      <c r="BR134" s="757"/>
      <c r="BS134" s="661">
        <f>+BS133</f>
        <v>16621.772727272975</v>
      </c>
      <c r="BT134" s="630">
        <f>+BT133</f>
        <v>8310.886363636364</v>
      </c>
      <c r="BU134" s="630">
        <f t="shared" si="99"/>
        <v>8310.8863636366113</v>
      </c>
      <c r="BV134" s="662">
        <f>+BS$29*BU134+BT134</f>
        <v>9858.8732785167031</v>
      </c>
      <c r="BW134" s="661">
        <f>+BW133</f>
        <v>1297892.7613636511</v>
      </c>
      <c r="BX134" s="630">
        <f>+BX133</f>
        <v>576841.22727272729</v>
      </c>
      <c r="BY134" s="630">
        <f t="shared" si="100"/>
        <v>721051.53409092384</v>
      </c>
      <c r="BZ134" s="662">
        <f>+BW$29*BY134+BX134</f>
        <v>705409.42630124884</v>
      </c>
      <c r="CA134" s="661">
        <f>+CA133</f>
        <v>122476.32000000145</v>
      </c>
      <c r="CB134" s="630">
        <f>+CB133</f>
        <v>54433.919999999998</v>
      </c>
      <c r="CC134" s="630">
        <f t="shared" si="101"/>
        <v>68042.400000001449</v>
      </c>
      <c r="CD134" s="662">
        <f>+CA$29*CC134+CB134</f>
        <v>67107.507418775305</v>
      </c>
      <c r="CE134" s="661">
        <f>+CE133</f>
        <v>10631.315454545664</v>
      </c>
      <c r="CF134" s="630">
        <f>+CF133</f>
        <v>4725.0290909090909</v>
      </c>
      <c r="CG134" s="630">
        <f t="shared" si="102"/>
        <v>5906.2863636365728</v>
      </c>
      <c r="CH134" s="662">
        <f>+CE$29*CG134+CF134</f>
        <v>5825.1348565767785</v>
      </c>
      <c r="CI134" s="661">
        <f>+CI133</f>
        <v>40178.863636363334</v>
      </c>
      <c r="CJ134" s="630">
        <f>+CJ133</f>
        <v>12362.727272727272</v>
      </c>
      <c r="CK134" s="630">
        <f t="shared" si="103"/>
        <v>27816.136363636062</v>
      </c>
      <c r="CL134" s="662">
        <f>+CI$29*CK134+CJ134</f>
        <v>17322.526104184293</v>
      </c>
      <c r="CM134" s="661">
        <f>+CM133</f>
        <v>3506764.4542613765</v>
      </c>
      <c r="CN134" s="630">
        <f>+CN133</f>
        <v>483691.64886363636</v>
      </c>
      <c r="CO134" s="630">
        <f t="shared" si="104"/>
        <v>3023072.8053977401</v>
      </c>
      <c r="CP134" s="662">
        <f>+CM$29*CO134+CN134</f>
        <v>1022725.2792574891</v>
      </c>
      <c r="CQ134" s="661">
        <f>+CQ133</f>
        <v>15637453.723465916</v>
      </c>
      <c r="CR134" s="630">
        <f>+CR133</f>
        <v>2017735.9643181816</v>
      </c>
      <c r="CS134" s="630">
        <f t="shared" si="105"/>
        <v>13619717.759147733</v>
      </c>
      <c r="CT134" s="662">
        <f>+CQ$29*CS134+CR134</f>
        <v>4446220.6159430798</v>
      </c>
      <c r="CU134" s="661">
        <f>+CU133</f>
        <v>5409562.9800000172</v>
      </c>
      <c r="CV134" s="630">
        <f>+CV133</f>
        <v>676195.37250000006</v>
      </c>
      <c r="CW134" s="630">
        <f t="shared" si="106"/>
        <v>4733367.6075000167</v>
      </c>
      <c r="CX134" s="662">
        <f>+CU$29*CW134+CV134</f>
        <v>1520185.739157316</v>
      </c>
      <c r="CY134" s="782">
        <f t="shared" si="91"/>
        <v>3534872.710309851</v>
      </c>
      <c r="CZ134" s="779">
        <f>+CY134</f>
        <v>3534872.710309851</v>
      </c>
      <c r="DA134" s="752"/>
      <c r="DD134" s="661"/>
      <c r="DE134" s="630"/>
      <c r="DF134" s="630"/>
      <c r="DG134" s="662"/>
      <c r="DH134" s="661"/>
      <c r="DI134" s="630"/>
      <c r="DJ134" s="630"/>
      <c r="DK134" s="662"/>
      <c r="DL134" s="661"/>
      <c r="DM134" s="630"/>
      <c r="DN134" s="630"/>
      <c r="DO134" s="662"/>
      <c r="DP134" s="661"/>
      <c r="DQ134" s="630"/>
      <c r="DR134" s="630"/>
      <c r="DS134" s="662"/>
      <c r="DT134" s="661"/>
      <c r="DU134" s="630"/>
      <c r="DV134" s="630"/>
      <c r="DW134" s="662"/>
      <c r="DX134" s="661"/>
      <c r="DY134" s="630"/>
      <c r="DZ134" s="630"/>
      <c r="EA134" s="662"/>
      <c r="EB134" s="661"/>
      <c r="EC134" s="630"/>
      <c r="ED134" s="630"/>
      <c r="EE134" s="662"/>
      <c r="EF134" s="661"/>
      <c r="EG134" s="630"/>
      <c r="EH134" s="630"/>
      <c r="EI134" s="662"/>
      <c r="EJ134" s="661"/>
      <c r="EK134" s="630"/>
      <c r="EL134" s="630"/>
      <c r="EM134" s="662"/>
      <c r="EN134" s="661"/>
      <c r="EO134" s="630"/>
      <c r="EP134" s="630"/>
      <c r="EQ134" s="662"/>
      <c r="ER134" s="661"/>
      <c r="ES134" s="630"/>
      <c r="ET134" s="630"/>
      <c r="EU134" s="662"/>
      <c r="EW134" s="661"/>
      <c r="EX134" s="630"/>
      <c r="EY134" s="630"/>
      <c r="EZ134" s="662"/>
      <c r="FA134" s="661"/>
      <c r="FB134" s="630"/>
      <c r="FC134" s="630"/>
      <c r="FD134" s="662"/>
    </row>
    <row r="135" spans="1:160">
      <c r="A135" s="753" t="s">
        <v>24</v>
      </c>
      <c r="B135" s="774">
        <v>2054</v>
      </c>
      <c r="C135" s="775"/>
      <c r="D135" s="775"/>
      <c r="E135" s="775"/>
      <c r="F135" s="757"/>
      <c r="G135" s="775"/>
      <c r="H135" s="775"/>
      <c r="I135" s="775"/>
      <c r="J135" s="757"/>
      <c r="K135" s="762"/>
      <c r="L135" s="762"/>
      <c r="M135" s="762"/>
      <c r="N135" s="757"/>
      <c r="O135" s="775"/>
      <c r="P135" s="775"/>
      <c r="Q135" s="775"/>
      <c r="R135" s="757"/>
      <c r="S135" s="630"/>
      <c r="T135" s="630"/>
      <c r="U135" s="630"/>
      <c r="V135" s="662"/>
      <c r="W135" s="630"/>
      <c r="X135" s="630"/>
      <c r="Y135" s="630"/>
      <c r="Z135" s="662"/>
      <c r="AA135" s="630"/>
      <c r="AB135" s="630"/>
      <c r="AC135" s="630"/>
      <c r="AD135" s="662"/>
      <c r="AE135" s="630"/>
      <c r="AF135" s="630"/>
      <c r="AG135" s="630"/>
      <c r="AH135" s="662"/>
      <c r="AI135" s="661">
        <f>+AK134</f>
        <v>246289.52651515632</v>
      </c>
      <c r="AJ135" s="630">
        <f>+AI$31</f>
        <v>295547.43181818182</v>
      </c>
      <c r="AK135" s="630">
        <f t="shared" ref="AK135:AK136" si="107">+AI135-AJ135</f>
        <v>-49257.905303025502</v>
      </c>
      <c r="AL135" s="662">
        <f>+AI$28*AK135+AJ135</f>
        <v>286764.42550960794</v>
      </c>
      <c r="AM135" s="661">
        <f>+AO134</f>
        <v>55433.457840909541</v>
      </c>
      <c r="AN135" s="630">
        <f>+AM$31</f>
        <v>110866.91568181818</v>
      </c>
      <c r="AO135" s="630">
        <f t="shared" ref="AO135:AO136" si="108">+AM135-AN135</f>
        <v>-55433.457840908639</v>
      </c>
      <c r="AP135" s="662">
        <f>+AM$28*AO135+AN135</f>
        <v>100982.76801196467</v>
      </c>
      <c r="AQ135" s="661">
        <f>+AS134</f>
        <v>678699.17795454629</v>
      </c>
      <c r="AR135" s="630">
        <f>+AQ$31</f>
        <v>904932.23727272719</v>
      </c>
      <c r="AS135" s="630">
        <f t="shared" ref="AS135:AS136" si="109">+AQ135-AR135</f>
        <v>-226233.05931818089</v>
      </c>
      <c r="AT135" s="662">
        <f>+AQ$28*AS135+AR135</f>
        <v>864593.40485636983</v>
      </c>
      <c r="AU135" s="775"/>
      <c r="AV135" s="775"/>
      <c r="AW135" s="775"/>
      <c r="AX135" s="757"/>
      <c r="AY135" s="775"/>
      <c r="AZ135" s="775"/>
      <c r="BA135" s="775"/>
      <c r="BB135" s="757"/>
      <c r="BC135" s="775"/>
      <c r="BD135" s="775"/>
      <c r="BE135" s="775"/>
      <c r="BF135" s="757"/>
      <c r="BG135" s="775"/>
      <c r="BH135" s="775"/>
      <c r="BI135" s="775"/>
      <c r="BJ135" s="757"/>
      <c r="BK135" s="775"/>
      <c r="BL135" s="775"/>
      <c r="BM135" s="775"/>
      <c r="BN135" s="757"/>
      <c r="BO135" s="775"/>
      <c r="BP135" s="775"/>
      <c r="BQ135" s="775"/>
      <c r="BR135" s="757"/>
      <c r="BS135" s="661">
        <f>+BU134</f>
        <v>8310.8863636366113</v>
      </c>
      <c r="BT135" s="630">
        <f>+BS$31</f>
        <v>8310.886363636364</v>
      </c>
      <c r="BU135" s="630">
        <f t="shared" ref="BU135:BU136" si="110">+BS135-BT135</f>
        <v>2.4738255888223648E-10</v>
      </c>
      <c r="BV135" s="662">
        <f>+BS$28*BU135+BT135</f>
        <v>8310.8863636364076</v>
      </c>
      <c r="BW135" s="661">
        <f>+BY134</f>
        <v>721051.53409092384</v>
      </c>
      <c r="BX135" s="630">
        <f>+BW$31</f>
        <v>576841.22727272729</v>
      </c>
      <c r="BY135" s="630">
        <f t="shared" ref="BY135:BY136" si="111">+BW135-BX135</f>
        <v>144210.30681819655</v>
      </c>
      <c r="BZ135" s="662">
        <f>+BW$28*BY135+BX135</f>
        <v>602554.86707843374</v>
      </c>
      <c r="CA135" s="661">
        <f>+CC134</f>
        <v>68042.400000001449</v>
      </c>
      <c r="CB135" s="630">
        <f>+CA$31</f>
        <v>54433.919999999998</v>
      </c>
      <c r="CC135" s="630">
        <f t="shared" ref="CC135:CC136" si="112">+CA135-CB135</f>
        <v>13608.480000001451</v>
      </c>
      <c r="CD135" s="662">
        <f>+CA$28*CC135+CB135</f>
        <v>56860.400885754854</v>
      </c>
      <c r="CE135" s="661">
        <f>+CG134</f>
        <v>5906.2863636365728</v>
      </c>
      <c r="CF135" s="630">
        <f>+CE$31</f>
        <v>4725.0290909090909</v>
      </c>
      <c r="CG135" s="630">
        <f t="shared" ref="CG135:CG136" si="113">+CE135-CF135</f>
        <v>1181.2572727274819</v>
      </c>
      <c r="CH135" s="662">
        <f>+CE$28*CG135+CF135</f>
        <v>4935.6549795779092</v>
      </c>
      <c r="CI135" s="661">
        <f>+CK134</f>
        <v>27816.136363636062</v>
      </c>
      <c r="CJ135" s="630">
        <f>+CI$31</f>
        <v>12362.727272727272</v>
      </c>
      <c r="CK135" s="630">
        <f t="shared" ref="CK135:CK136" si="114">+CI135-CJ135</f>
        <v>15453.40909090879</v>
      </c>
      <c r="CL135" s="662">
        <f>+CI$28*CK135+CJ135</f>
        <v>15118.171067981149</v>
      </c>
      <c r="CM135" s="661">
        <f>+CO134</f>
        <v>3023072.8053977401</v>
      </c>
      <c r="CN135" s="630">
        <f>+CM$31</f>
        <v>483691.64886363636</v>
      </c>
      <c r="CO135" s="630">
        <f t="shared" ref="CO135:CO136" si="115">+CM135-CN135</f>
        <v>2539381.1565341037</v>
      </c>
      <c r="CP135" s="662">
        <f>+CM$28*CO135+CN135</f>
        <v>936479.89839447313</v>
      </c>
      <c r="CQ135" s="661">
        <f>+CS134</f>
        <v>13619717.759147733</v>
      </c>
      <c r="CR135" s="630">
        <f>+CQ$31</f>
        <v>2017735.9643181816</v>
      </c>
      <c r="CS135" s="630">
        <f t="shared" ref="CS135:CS136" si="116">+CQ135-CR135</f>
        <v>11601981.794829551</v>
      </c>
      <c r="CT135" s="662">
        <f>+CQ$28*CS135+CR135</f>
        <v>4086445.1119986502</v>
      </c>
      <c r="CU135" s="661">
        <f>+CW134</f>
        <v>4733367.6075000167</v>
      </c>
      <c r="CV135" s="630">
        <f>+CU$31</f>
        <v>676195.37250000006</v>
      </c>
      <c r="CW135" s="630">
        <f t="shared" ref="CW135:CW136" si="117">+CU135-CV135</f>
        <v>4057172.2350000166</v>
      </c>
      <c r="CX135" s="662">
        <f>+CU$28*CW135+CV135</f>
        <v>1399615.6867777</v>
      </c>
      <c r="CY135" s="777"/>
      <c r="CZ135" s="756"/>
      <c r="DA135" s="778"/>
      <c r="DD135" s="661"/>
      <c r="DE135" s="630"/>
      <c r="DF135" s="630"/>
      <c r="DG135" s="662"/>
      <c r="DH135" s="661"/>
      <c r="DI135" s="630"/>
      <c r="DJ135" s="630"/>
      <c r="DK135" s="662"/>
      <c r="DL135" s="661"/>
      <c r="DM135" s="630"/>
      <c r="DN135" s="630"/>
      <c r="DO135" s="662"/>
      <c r="DP135" s="661"/>
      <c r="DQ135" s="630"/>
      <c r="DR135" s="630"/>
      <c r="DS135" s="662"/>
      <c r="DT135" s="661"/>
      <c r="DU135" s="630"/>
      <c r="DV135" s="630"/>
      <c r="DW135" s="662"/>
      <c r="DX135" s="661"/>
      <c r="DY135" s="630"/>
      <c r="DZ135" s="630"/>
      <c r="EA135" s="662"/>
      <c r="EB135" s="661"/>
      <c r="EC135" s="630"/>
      <c r="ED135" s="630"/>
      <c r="EE135" s="662"/>
      <c r="EF135" s="661"/>
      <c r="EG135" s="630"/>
      <c r="EH135" s="630"/>
      <c r="EI135" s="662"/>
      <c r="EJ135" s="661"/>
      <c r="EK135" s="630"/>
      <c r="EL135" s="630"/>
      <c r="EM135" s="662"/>
      <c r="EN135" s="661"/>
      <c r="EO135" s="630"/>
      <c r="EP135" s="630"/>
      <c r="EQ135" s="662"/>
      <c r="ER135" s="661"/>
      <c r="ES135" s="630"/>
      <c r="ET135" s="630"/>
      <c r="EU135" s="662"/>
      <c r="EW135" s="661"/>
      <c r="EX135" s="630"/>
      <c r="EY135" s="630"/>
      <c r="EZ135" s="662"/>
      <c r="FA135" s="661"/>
      <c r="FB135" s="630"/>
      <c r="FC135" s="630"/>
      <c r="FD135" s="662"/>
    </row>
    <row r="136" spans="1:160">
      <c r="A136" s="753" t="s">
        <v>23</v>
      </c>
      <c r="B136" s="774">
        <v>2054</v>
      </c>
      <c r="C136" s="775"/>
      <c r="D136" s="775"/>
      <c r="E136" s="775"/>
      <c r="F136" s="757"/>
      <c r="G136" s="775"/>
      <c r="H136" s="775"/>
      <c r="I136" s="775"/>
      <c r="J136" s="757"/>
      <c r="K136" s="762"/>
      <c r="L136" s="762"/>
      <c r="M136" s="762"/>
      <c r="N136" s="757"/>
      <c r="O136" s="775"/>
      <c r="P136" s="775"/>
      <c r="Q136" s="775"/>
      <c r="R136" s="757"/>
      <c r="S136" s="630"/>
      <c r="T136" s="630"/>
      <c r="U136" s="630"/>
      <c r="V136" s="662"/>
      <c r="W136" s="630"/>
      <c r="X136" s="630"/>
      <c r="Y136" s="630"/>
      <c r="Z136" s="662"/>
      <c r="AA136" s="680"/>
      <c r="AB136" s="680"/>
      <c r="AC136" s="680"/>
      <c r="AD136" s="680"/>
      <c r="AE136" s="630"/>
      <c r="AF136" s="630"/>
      <c r="AG136" s="630"/>
      <c r="AH136" s="662"/>
      <c r="AI136" s="661">
        <f>+AI135</f>
        <v>246289.52651515632</v>
      </c>
      <c r="AJ136" s="630">
        <f>+AJ135</f>
        <v>295547.43181818182</v>
      </c>
      <c r="AK136" s="630">
        <f t="shared" si="107"/>
        <v>-49257.905303025502</v>
      </c>
      <c r="AL136" s="662">
        <f>+AI$29*AK136+AJ136</f>
        <v>286372.64714092709</v>
      </c>
      <c r="AM136" s="661">
        <f>+AM135</f>
        <v>55433.457840909541</v>
      </c>
      <c r="AN136" s="630">
        <f>+AN135</f>
        <v>110866.91568181818</v>
      </c>
      <c r="AO136" s="630">
        <f t="shared" si="108"/>
        <v>-55433.457840908639</v>
      </c>
      <c r="AP136" s="662">
        <f>+AM$29*AO136+AN136</f>
        <v>100541.87168172799</v>
      </c>
      <c r="AQ136" s="661">
        <f>+AQ135</f>
        <v>678699.17795454629</v>
      </c>
      <c r="AR136" s="630">
        <f>+AR135</f>
        <v>904932.23727272719</v>
      </c>
      <c r="AS136" s="630">
        <f t="shared" si="109"/>
        <v>-226233.05931818089</v>
      </c>
      <c r="AT136" s="662">
        <f>+AQ$29*AS136+AR136</f>
        <v>862794.03441265924</v>
      </c>
      <c r="AU136" s="775"/>
      <c r="AV136" s="775"/>
      <c r="AW136" s="775"/>
      <c r="AX136" s="757"/>
      <c r="AY136" s="775"/>
      <c r="AZ136" s="775"/>
      <c r="BA136" s="775"/>
      <c r="BB136" s="757"/>
      <c r="BC136" s="775"/>
      <c r="BD136" s="775"/>
      <c r="BE136" s="775"/>
      <c r="BF136" s="757"/>
      <c r="BG136" s="775"/>
      <c r="BH136" s="775"/>
      <c r="BI136" s="775"/>
      <c r="BJ136" s="757"/>
      <c r="BK136" s="775"/>
      <c r="BL136" s="775"/>
      <c r="BM136" s="775"/>
      <c r="BN136" s="757"/>
      <c r="BO136" s="775"/>
      <c r="BP136" s="775"/>
      <c r="BQ136" s="775"/>
      <c r="BR136" s="757"/>
      <c r="BS136" s="661">
        <f>+BS135</f>
        <v>8310.8863636366113</v>
      </c>
      <c r="BT136" s="630">
        <f>+BT135</f>
        <v>8310.886363636364</v>
      </c>
      <c r="BU136" s="630">
        <f t="shared" si="110"/>
        <v>2.4738255888223648E-10</v>
      </c>
      <c r="BV136" s="662">
        <f>+BS$29*BU136+BT136</f>
        <v>8310.8863636364094</v>
      </c>
      <c r="BW136" s="661">
        <f>+BW135</f>
        <v>721051.53409092384</v>
      </c>
      <c r="BX136" s="630">
        <f>+BX135</f>
        <v>576841.22727272729</v>
      </c>
      <c r="BY136" s="630">
        <f t="shared" si="111"/>
        <v>144210.30681819655</v>
      </c>
      <c r="BZ136" s="662">
        <f>+BW$29*BY136+BX136</f>
        <v>602554.86707843374</v>
      </c>
      <c r="CA136" s="661">
        <f>+CA135</f>
        <v>68042.400000001449</v>
      </c>
      <c r="CB136" s="630">
        <f>+CB135</f>
        <v>54433.919999999998</v>
      </c>
      <c r="CC136" s="630">
        <f t="shared" si="112"/>
        <v>13608.480000001451</v>
      </c>
      <c r="CD136" s="662">
        <f>+CA$29*CC136+CB136</f>
        <v>56968.637483755279</v>
      </c>
      <c r="CE136" s="661">
        <f>+CE135</f>
        <v>5906.2863636365728</v>
      </c>
      <c r="CF136" s="630">
        <f>+CF135</f>
        <v>4725.0290909090909</v>
      </c>
      <c r="CG136" s="630">
        <f t="shared" si="113"/>
        <v>1181.2572727274819</v>
      </c>
      <c r="CH136" s="662">
        <f>+CE$29*CG136+CF136</f>
        <v>4945.0502440426599</v>
      </c>
      <c r="CI136" s="661">
        <f>+CI135</f>
        <v>27816.136363636062</v>
      </c>
      <c r="CJ136" s="630">
        <f>+CJ135</f>
        <v>12362.727272727272</v>
      </c>
      <c r="CK136" s="630">
        <f t="shared" si="114"/>
        <v>15453.40909090879</v>
      </c>
      <c r="CL136" s="662">
        <f>+CI$29*CK136+CJ136</f>
        <v>15118.171067981149</v>
      </c>
      <c r="CM136" s="661">
        <f>+CM135</f>
        <v>3023072.8053977401</v>
      </c>
      <c r="CN136" s="630">
        <f>+CN135</f>
        <v>483691.64886363636</v>
      </c>
      <c r="CO136" s="630">
        <f t="shared" si="115"/>
        <v>2539381.1565341037</v>
      </c>
      <c r="CP136" s="662">
        <f>+CM$29*CO136+CN136</f>
        <v>936479.89839447313</v>
      </c>
      <c r="CQ136" s="661">
        <f>+CQ135</f>
        <v>13619717.759147733</v>
      </c>
      <c r="CR136" s="630">
        <f>+CR135</f>
        <v>2017735.9643181816</v>
      </c>
      <c r="CS136" s="630">
        <f t="shared" si="116"/>
        <v>11601981.794829551</v>
      </c>
      <c r="CT136" s="662">
        <f>+CQ$29*CS136+CR136</f>
        <v>4086445.1119986502</v>
      </c>
      <c r="CU136" s="661">
        <f>+CU135</f>
        <v>4733367.6075000167</v>
      </c>
      <c r="CV136" s="630">
        <f>+CV135</f>
        <v>676195.37250000006</v>
      </c>
      <c r="CW136" s="630">
        <f t="shared" si="117"/>
        <v>4057172.2350000166</v>
      </c>
      <c r="CX136" s="662">
        <f>+CU$29*CW136+CV136</f>
        <v>1399615.6867777</v>
      </c>
      <c r="CY136" s="777"/>
      <c r="CZ136" s="779"/>
      <c r="DA136" s="752"/>
      <c r="DD136" s="661"/>
      <c r="DE136" s="630"/>
      <c r="DF136" s="630"/>
      <c r="DG136" s="662"/>
      <c r="DH136" s="661"/>
      <c r="DI136" s="630"/>
      <c r="DJ136" s="630"/>
      <c r="DK136" s="662"/>
      <c r="DL136" s="661"/>
      <c r="DM136" s="630"/>
      <c r="DN136" s="630"/>
      <c r="DO136" s="662"/>
      <c r="DP136" s="661"/>
      <c r="DQ136" s="630"/>
      <c r="DR136" s="630"/>
      <c r="DS136" s="662"/>
      <c r="DT136" s="661"/>
      <c r="DU136" s="630"/>
      <c r="DV136" s="630"/>
      <c r="DW136" s="662"/>
      <c r="DX136" s="661"/>
      <c r="DY136" s="630"/>
      <c r="DZ136" s="630"/>
      <c r="EA136" s="662"/>
      <c r="EB136" s="661"/>
      <c r="EC136" s="630"/>
      <c r="ED136" s="630"/>
      <c r="EE136" s="662"/>
      <c r="EF136" s="661"/>
      <c r="EG136" s="630"/>
      <c r="EH136" s="630"/>
      <c r="EI136" s="662"/>
      <c r="EJ136" s="661"/>
      <c r="EK136" s="630"/>
      <c r="EL136" s="630"/>
      <c r="EM136" s="662"/>
      <c r="EN136" s="661"/>
      <c r="EO136" s="630"/>
      <c r="EP136" s="630"/>
      <c r="EQ136" s="662"/>
      <c r="ER136" s="661"/>
      <c r="ES136" s="630"/>
      <c r="ET136" s="630"/>
      <c r="EU136" s="662"/>
      <c r="EW136" s="661"/>
      <c r="EX136" s="630"/>
      <c r="EY136" s="630"/>
      <c r="EZ136" s="662"/>
      <c r="FA136" s="661"/>
      <c r="FB136" s="630"/>
      <c r="FC136" s="630"/>
      <c r="FD136" s="662"/>
    </row>
    <row r="137" spans="1:160">
      <c r="A137" s="753" t="s">
        <v>24</v>
      </c>
      <c r="B137" s="774">
        <v>2055</v>
      </c>
      <c r="C137" s="775"/>
      <c r="D137" s="775"/>
      <c r="E137" s="775"/>
      <c r="F137" s="757"/>
      <c r="G137" s="775"/>
      <c r="H137" s="775"/>
      <c r="I137" s="775"/>
      <c r="J137" s="757"/>
      <c r="K137" s="762"/>
      <c r="L137" s="762"/>
      <c r="M137" s="762"/>
      <c r="N137" s="757"/>
      <c r="O137" s="775"/>
      <c r="P137" s="775"/>
      <c r="Q137" s="775"/>
      <c r="R137" s="757"/>
      <c r="S137" s="630"/>
      <c r="T137" s="630"/>
      <c r="U137" s="630"/>
      <c r="V137" s="662"/>
      <c r="W137" s="630"/>
      <c r="X137" s="630"/>
      <c r="Y137" s="630"/>
      <c r="Z137" s="662"/>
      <c r="AA137" s="680"/>
      <c r="AB137" s="680"/>
      <c r="AC137" s="680"/>
      <c r="AD137" s="680"/>
      <c r="AE137" s="630"/>
      <c r="AF137" s="630"/>
      <c r="AG137" s="630"/>
      <c r="AH137" s="662"/>
      <c r="AI137" s="630"/>
      <c r="AJ137" s="630"/>
      <c r="AK137" s="630"/>
      <c r="AL137" s="662"/>
      <c r="AM137" s="680"/>
      <c r="AN137" s="680"/>
      <c r="AO137" s="680"/>
      <c r="AP137" s="680"/>
      <c r="AQ137" s="630"/>
      <c r="AR137" s="630"/>
      <c r="AS137" s="630"/>
      <c r="AT137" s="662"/>
      <c r="AU137" s="775"/>
      <c r="AV137" s="775"/>
      <c r="AW137" s="775"/>
      <c r="AX137" s="757"/>
      <c r="AY137" s="775"/>
      <c r="AZ137" s="775"/>
      <c r="BA137" s="775"/>
      <c r="BB137" s="757"/>
      <c r="BC137" s="775"/>
      <c r="BD137" s="775"/>
      <c r="BE137" s="775"/>
      <c r="BF137" s="757"/>
      <c r="BG137" s="775"/>
      <c r="BH137" s="775"/>
      <c r="BI137" s="775"/>
      <c r="BJ137" s="757"/>
      <c r="BK137" s="775"/>
      <c r="BL137" s="775"/>
      <c r="BM137" s="775"/>
      <c r="BN137" s="757"/>
      <c r="BO137" s="775"/>
      <c r="BP137" s="775"/>
      <c r="BQ137" s="775"/>
      <c r="BR137" s="757"/>
      <c r="BS137" s="630"/>
      <c r="BT137" s="630"/>
      <c r="BU137" s="630"/>
      <c r="BV137" s="662"/>
      <c r="BW137" s="661">
        <f>+BY136</f>
        <v>144210.30681819655</v>
      </c>
      <c r="BX137" s="630">
        <f>+BW$31</f>
        <v>576841.22727272729</v>
      </c>
      <c r="BY137" s="630">
        <f t="shared" ref="BY137:BY138" si="118">+BW137-BX137</f>
        <v>-432630.92045453074</v>
      </c>
      <c r="BZ137" s="662">
        <f>+BW$28*BY137+BX137</f>
        <v>499700.30785561854</v>
      </c>
      <c r="CA137" s="661">
        <f>+CC136</f>
        <v>13608.480000001451</v>
      </c>
      <c r="CB137" s="630">
        <f>+CA$31</f>
        <v>54433.919999999998</v>
      </c>
      <c r="CC137" s="630">
        <f t="shared" ref="CC137:CC138" si="119">+CA137-CB137</f>
        <v>-40825.439999998547</v>
      </c>
      <c r="CD137" s="662">
        <f>+CA$28*CC137+CB137</f>
        <v>47154.477342736471</v>
      </c>
      <c r="CE137" s="661">
        <f>+CG136</f>
        <v>1181.2572727274819</v>
      </c>
      <c r="CF137" s="630">
        <f>+CE$31</f>
        <v>4725.0290909090909</v>
      </c>
      <c r="CG137" s="630">
        <f t="shared" ref="CG137:CG138" si="120">+CE137-CF137</f>
        <v>-3543.771818181609</v>
      </c>
      <c r="CH137" s="662">
        <f>+CE$28*CG137+CF137</f>
        <v>4093.1514249027855</v>
      </c>
      <c r="CI137" s="661">
        <f>+CK136</f>
        <v>15453.40909090879</v>
      </c>
      <c r="CJ137" s="630">
        <f>+CI$31</f>
        <v>12362.727272727272</v>
      </c>
      <c r="CK137" s="630">
        <f t="shared" ref="CK137:CK138" si="121">+CI137-CJ137</f>
        <v>3090.6818181815179</v>
      </c>
      <c r="CL137" s="662">
        <f>+CI$28*CK137+CJ137</f>
        <v>12913.816031778004</v>
      </c>
      <c r="CM137" s="661">
        <f>+CO136</f>
        <v>2539381.1565341037</v>
      </c>
      <c r="CN137" s="630">
        <f>+CM$31</f>
        <v>483691.64886363636</v>
      </c>
      <c r="CO137" s="630">
        <f t="shared" ref="CO137:CO138" si="122">+CM137-CN137</f>
        <v>2055689.5076704673</v>
      </c>
      <c r="CP137" s="662">
        <f>+CM$28*CO137+CN137</f>
        <v>850234.51753145701</v>
      </c>
      <c r="CQ137" s="661">
        <f>+CS136</f>
        <v>11601981.794829551</v>
      </c>
      <c r="CR137" s="630">
        <f>+CQ$31</f>
        <v>2017735.9643181816</v>
      </c>
      <c r="CS137" s="630">
        <f t="shared" ref="CS137:CS138" si="123">+CQ137-CR137</f>
        <v>9584245.8305113688</v>
      </c>
      <c r="CT137" s="662">
        <f>+CQ$28*CS137+CR137</f>
        <v>3726669.6080542207</v>
      </c>
      <c r="CU137" s="661">
        <f>+CW136</f>
        <v>4057172.2350000166</v>
      </c>
      <c r="CV137" s="630">
        <f>+CU$31</f>
        <v>676195.37250000006</v>
      </c>
      <c r="CW137" s="630">
        <f t="shared" ref="CW137:CW138" si="124">+CU137-CV137</f>
        <v>3380976.8625000166</v>
      </c>
      <c r="CX137" s="662">
        <f>+CU$28*CW137+CV137</f>
        <v>1279045.6343980837</v>
      </c>
      <c r="CY137" s="777"/>
      <c r="CZ137" s="756"/>
      <c r="DA137" s="778"/>
      <c r="DD137" s="661"/>
      <c r="DE137" s="630"/>
      <c r="DF137" s="630"/>
      <c r="DG137" s="662"/>
      <c r="DH137" s="661"/>
      <c r="DI137" s="630"/>
      <c r="DJ137" s="630"/>
      <c r="DK137" s="662"/>
      <c r="DL137" s="661"/>
      <c r="DM137" s="630"/>
      <c r="DN137" s="630"/>
      <c r="DO137" s="662"/>
      <c r="DP137" s="661"/>
      <c r="DQ137" s="630"/>
      <c r="DR137" s="630"/>
      <c r="DS137" s="662"/>
      <c r="DT137" s="661"/>
      <c r="DU137" s="630"/>
      <c r="DV137" s="630"/>
      <c r="DW137" s="662"/>
      <c r="DX137" s="661"/>
      <c r="DY137" s="630"/>
      <c r="DZ137" s="630"/>
      <c r="EA137" s="662"/>
      <c r="EB137" s="661"/>
      <c r="EC137" s="630"/>
      <c r="ED137" s="630"/>
      <c r="EE137" s="662"/>
      <c r="EF137" s="661"/>
      <c r="EG137" s="630"/>
      <c r="EH137" s="630"/>
      <c r="EI137" s="662"/>
      <c r="EJ137" s="661"/>
      <c r="EK137" s="630"/>
      <c r="EL137" s="630"/>
      <c r="EM137" s="662"/>
      <c r="EN137" s="661"/>
      <c r="EO137" s="630"/>
      <c r="EP137" s="630"/>
      <c r="EQ137" s="662"/>
      <c r="ER137" s="661"/>
      <c r="ES137" s="630"/>
      <c r="ET137" s="630"/>
      <c r="EU137" s="662"/>
      <c r="EW137" s="661"/>
      <c r="EX137" s="630"/>
      <c r="EY137" s="630"/>
      <c r="EZ137" s="662"/>
      <c r="FA137" s="661"/>
      <c r="FB137" s="630"/>
      <c r="FC137" s="630"/>
      <c r="FD137" s="662"/>
    </row>
    <row r="138" spans="1:160">
      <c r="A138" s="753" t="s">
        <v>23</v>
      </c>
      <c r="B138" s="774">
        <v>2055</v>
      </c>
      <c r="C138" s="775"/>
      <c r="D138" s="775"/>
      <c r="E138" s="775"/>
      <c r="F138" s="757"/>
      <c r="G138" s="775"/>
      <c r="H138" s="775"/>
      <c r="I138" s="775"/>
      <c r="J138" s="757"/>
      <c r="K138" s="762"/>
      <c r="L138" s="762"/>
      <c r="M138" s="762"/>
      <c r="N138" s="757"/>
      <c r="O138" s="775"/>
      <c r="P138" s="775"/>
      <c r="Q138" s="775"/>
      <c r="R138" s="757"/>
      <c r="S138" s="630"/>
      <c r="T138" s="630"/>
      <c r="U138" s="630"/>
      <c r="V138" s="662"/>
      <c r="W138" s="630"/>
      <c r="X138" s="630"/>
      <c r="Y138" s="630"/>
      <c r="Z138" s="662"/>
      <c r="AA138" s="680"/>
      <c r="AB138" s="680"/>
      <c r="AC138" s="680"/>
      <c r="AD138" s="680"/>
      <c r="AE138" s="630"/>
      <c r="AF138" s="630"/>
      <c r="AG138" s="630"/>
      <c r="AH138" s="662"/>
      <c r="AI138" s="630"/>
      <c r="AJ138" s="630"/>
      <c r="AK138" s="630"/>
      <c r="AL138" s="662"/>
      <c r="AM138" s="680"/>
      <c r="AN138" s="680"/>
      <c r="AO138" s="680"/>
      <c r="AP138" s="680"/>
      <c r="AQ138" s="630"/>
      <c r="AR138" s="630"/>
      <c r="AS138" s="630"/>
      <c r="AT138" s="662"/>
      <c r="AU138" s="775"/>
      <c r="AV138" s="775"/>
      <c r="AW138" s="775"/>
      <c r="AX138" s="757"/>
      <c r="AY138" s="775"/>
      <c r="AZ138" s="775"/>
      <c r="BA138" s="775"/>
      <c r="BB138" s="757"/>
      <c r="BC138" s="775"/>
      <c r="BD138" s="775"/>
      <c r="BE138" s="775"/>
      <c r="BF138" s="757"/>
      <c r="BG138" s="775"/>
      <c r="BH138" s="775"/>
      <c r="BI138" s="775"/>
      <c r="BJ138" s="757"/>
      <c r="BK138" s="775"/>
      <c r="BL138" s="775"/>
      <c r="BM138" s="775"/>
      <c r="BN138" s="757"/>
      <c r="BO138" s="775"/>
      <c r="BP138" s="775"/>
      <c r="BQ138" s="775"/>
      <c r="BR138" s="757"/>
      <c r="BS138" s="630"/>
      <c r="BT138" s="630"/>
      <c r="BU138" s="630"/>
      <c r="BV138" s="662"/>
      <c r="BW138" s="661">
        <f>+BW137</f>
        <v>144210.30681819655</v>
      </c>
      <c r="BX138" s="630">
        <f>+BX137</f>
        <v>576841.22727272729</v>
      </c>
      <c r="BY138" s="630">
        <f t="shared" si="118"/>
        <v>-432630.92045453074</v>
      </c>
      <c r="BZ138" s="662">
        <f>+BW$29*BY138+BX138</f>
        <v>499700.30785561854</v>
      </c>
      <c r="CA138" s="661">
        <f>+CA137</f>
        <v>13608.480000001451</v>
      </c>
      <c r="CB138" s="630">
        <f>+CB137</f>
        <v>54433.919999999998</v>
      </c>
      <c r="CC138" s="630">
        <f t="shared" si="119"/>
        <v>-40825.439999998547</v>
      </c>
      <c r="CD138" s="662">
        <f>+CA$29*CC138+CB138</f>
        <v>46829.767548735246</v>
      </c>
      <c r="CE138" s="661">
        <f>+CE137</f>
        <v>1181.2572727274819</v>
      </c>
      <c r="CF138" s="630">
        <f>+CF137</f>
        <v>4725.0290909090909</v>
      </c>
      <c r="CG138" s="630">
        <f t="shared" si="120"/>
        <v>-3543.771818181609</v>
      </c>
      <c r="CH138" s="662">
        <f>+CE$29*CG138+CF138</f>
        <v>4064.9656315085408</v>
      </c>
      <c r="CI138" s="661">
        <f>+CI137</f>
        <v>15453.40909090879</v>
      </c>
      <c r="CJ138" s="630">
        <f>+CJ137</f>
        <v>12362.727272727272</v>
      </c>
      <c r="CK138" s="630">
        <f t="shared" si="121"/>
        <v>3090.6818181815179</v>
      </c>
      <c r="CL138" s="662">
        <f>+CI$29*CK138+CJ138</f>
        <v>12913.816031778004</v>
      </c>
      <c r="CM138" s="661">
        <f>+CM137</f>
        <v>2539381.1565341037</v>
      </c>
      <c r="CN138" s="630">
        <f>+CN137</f>
        <v>483691.64886363636</v>
      </c>
      <c r="CO138" s="630">
        <f t="shared" si="122"/>
        <v>2055689.5076704673</v>
      </c>
      <c r="CP138" s="662">
        <f>+CM$29*CO138+CN138</f>
        <v>850234.51753145701</v>
      </c>
      <c r="CQ138" s="661">
        <f>+CQ137</f>
        <v>11601981.794829551</v>
      </c>
      <c r="CR138" s="630">
        <f>+CR137</f>
        <v>2017735.9643181816</v>
      </c>
      <c r="CS138" s="630">
        <f t="shared" si="123"/>
        <v>9584245.8305113688</v>
      </c>
      <c r="CT138" s="662">
        <f>+CQ$29*CS138+CR138</f>
        <v>3726669.6080542207</v>
      </c>
      <c r="CU138" s="661">
        <f>+CU137</f>
        <v>4057172.2350000166</v>
      </c>
      <c r="CV138" s="630">
        <f>+CV137</f>
        <v>676195.37250000006</v>
      </c>
      <c r="CW138" s="630">
        <f t="shared" si="124"/>
        <v>3380976.8625000166</v>
      </c>
      <c r="CX138" s="662">
        <f>+CU$29*CW138+CV138</f>
        <v>1279045.6343980837</v>
      </c>
      <c r="CY138" s="777"/>
      <c r="CZ138" s="779"/>
      <c r="DA138" s="752"/>
      <c r="DD138" s="661"/>
      <c r="DE138" s="630"/>
      <c r="DF138" s="630"/>
      <c r="DG138" s="662"/>
      <c r="DH138" s="661"/>
      <c r="DI138" s="630"/>
      <c r="DJ138" s="630"/>
      <c r="DK138" s="662"/>
      <c r="DL138" s="661"/>
      <c r="DM138" s="630"/>
      <c r="DN138" s="630"/>
      <c r="DO138" s="662"/>
      <c r="DP138" s="661"/>
      <c r="DQ138" s="630"/>
      <c r="DR138" s="630"/>
      <c r="DS138" s="662"/>
      <c r="DT138" s="661"/>
      <c r="DU138" s="630"/>
      <c r="DV138" s="630"/>
      <c r="DW138" s="662"/>
      <c r="DX138" s="661"/>
      <c r="DY138" s="630"/>
      <c r="DZ138" s="630"/>
      <c r="EA138" s="662"/>
      <c r="EB138" s="661"/>
      <c r="EC138" s="630"/>
      <c r="ED138" s="630"/>
      <c r="EE138" s="662"/>
      <c r="EF138" s="661"/>
      <c r="EG138" s="630"/>
      <c r="EH138" s="630"/>
      <c r="EI138" s="662"/>
      <c r="EJ138" s="661"/>
      <c r="EK138" s="630"/>
      <c r="EL138" s="630"/>
      <c r="EM138" s="662"/>
      <c r="EN138" s="661"/>
      <c r="EO138" s="630"/>
      <c r="EP138" s="630"/>
      <c r="EQ138" s="662"/>
      <c r="ER138" s="661"/>
      <c r="ES138" s="630"/>
      <c r="ET138" s="630"/>
      <c r="EU138" s="662"/>
      <c r="EW138" s="661"/>
      <c r="EX138" s="630"/>
      <c r="EY138" s="630"/>
      <c r="EZ138" s="662"/>
      <c r="FA138" s="661"/>
      <c r="FB138" s="630"/>
      <c r="FC138" s="630"/>
      <c r="FD138" s="662"/>
    </row>
    <row r="139" spans="1:160">
      <c r="A139" s="753" t="s">
        <v>24</v>
      </c>
      <c r="B139" s="774">
        <v>2056</v>
      </c>
      <c r="C139" s="775"/>
      <c r="D139" s="775"/>
      <c r="E139" s="775"/>
      <c r="F139" s="757"/>
      <c r="G139" s="775"/>
      <c r="H139" s="775"/>
      <c r="I139" s="775"/>
      <c r="J139" s="757"/>
      <c r="K139" s="762"/>
      <c r="L139" s="762"/>
      <c r="M139" s="762"/>
      <c r="N139" s="757"/>
      <c r="O139" s="775"/>
      <c r="P139" s="775"/>
      <c r="Q139" s="775"/>
      <c r="R139" s="757"/>
      <c r="S139" s="630"/>
      <c r="T139" s="630"/>
      <c r="U139" s="630"/>
      <c r="V139" s="662"/>
      <c r="W139" s="630"/>
      <c r="X139" s="630"/>
      <c r="Y139" s="630"/>
      <c r="Z139" s="662"/>
      <c r="AA139" s="680"/>
      <c r="AB139" s="680"/>
      <c r="AC139" s="680"/>
      <c r="AD139" s="680"/>
      <c r="AE139" s="630"/>
      <c r="AF139" s="630"/>
      <c r="AG139" s="630"/>
      <c r="AH139" s="662"/>
      <c r="AI139" s="630"/>
      <c r="AJ139" s="630"/>
      <c r="AK139" s="630"/>
      <c r="AL139" s="662"/>
      <c r="AM139" s="680"/>
      <c r="AN139" s="680"/>
      <c r="AO139" s="680"/>
      <c r="AP139" s="680"/>
      <c r="AQ139" s="630"/>
      <c r="AR139" s="630"/>
      <c r="AS139" s="630"/>
      <c r="AT139" s="662"/>
      <c r="AU139" s="775"/>
      <c r="AV139" s="775"/>
      <c r="AW139" s="775"/>
      <c r="AX139" s="757"/>
      <c r="AY139" s="775"/>
      <c r="AZ139" s="775"/>
      <c r="BA139" s="775"/>
      <c r="BB139" s="757"/>
      <c r="BC139" s="775"/>
      <c r="BD139" s="775"/>
      <c r="BE139" s="775"/>
      <c r="BF139" s="757"/>
      <c r="BG139" s="775"/>
      <c r="BH139" s="775"/>
      <c r="BI139" s="775"/>
      <c r="BJ139" s="757"/>
      <c r="BK139" s="775"/>
      <c r="BL139" s="775"/>
      <c r="BM139" s="775"/>
      <c r="BN139" s="757"/>
      <c r="BO139" s="775"/>
      <c r="BP139" s="775"/>
      <c r="BQ139" s="775"/>
      <c r="BR139" s="757"/>
      <c r="BS139" s="630"/>
      <c r="BT139" s="630"/>
      <c r="BU139" s="630"/>
      <c r="BV139" s="662"/>
      <c r="BW139" s="680"/>
      <c r="BX139" s="680"/>
      <c r="BY139" s="680"/>
      <c r="BZ139" s="680"/>
      <c r="CA139" s="630"/>
      <c r="CB139" s="630"/>
      <c r="CC139" s="630"/>
      <c r="CD139" s="662"/>
      <c r="CE139" s="630"/>
      <c r="CF139" s="630"/>
      <c r="CG139" s="630"/>
      <c r="CH139" s="662"/>
      <c r="CI139" s="661">
        <f>+CK138</f>
        <v>3090.6818181815179</v>
      </c>
      <c r="CJ139" s="630">
        <f>+CI$31</f>
        <v>12362.727272727272</v>
      </c>
      <c r="CK139" s="630">
        <f t="shared" ref="CK139:CK140" si="125">+CI139-CJ139</f>
        <v>-9272.0454545457542</v>
      </c>
      <c r="CL139" s="662">
        <f>+CI$28*CK139+CJ139</f>
        <v>10709.46099557486</v>
      </c>
      <c r="CM139" s="661">
        <f>+CO138</f>
        <v>2055689.5076704673</v>
      </c>
      <c r="CN139" s="630">
        <f>+CM$31</f>
        <v>483691.64886363636</v>
      </c>
      <c r="CO139" s="630">
        <f t="shared" ref="CO139:CO140" si="126">+CM139-CN139</f>
        <v>1571997.8588068308</v>
      </c>
      <c r="CP139" s="662">
        <f>+CM$28*CO139+CN139</f>
        <v>763989.13666844089</v>
      </c>
      <c r="CQ139" s="661">
        <f>+CS138</f>
        <v>9584245.8305113688</v>
      </c>
      <c r="CR139" s="630">
        <f>+CQ$31</f>
        <v>2017735.9643181816</v>
      </c>
      <c r="CS139" s="630">
        <f t="shared" ref="CS139:CS140" si="127">+CQ139-CR139</f>
        <v>7566509.8661931874</v>
      </c>
      <c r="CT139" s="662">
        <f>+CQ$28*CS139+CR139</f>
        <v>3366894.104109792</v>
      </c>
      <c r="CU139" s="661">
        <f>+CW138</f>
        <v>3380976.8625000166</v>
      </c>
      <c r="CV139" s="630">
        <f>+CU$31</f>
        <v>676195.37250000006</v>
      </c>
      <c r="CW139" s="630">
        <f t="shared" ref="CW139:CW140" si="128">+CU139-CV139</f>
        <v>2704781.4900000165</v>
      </c>
      <c r="CX139" s="662">
        <f>+CU$28*CW139+CV139</f>
        <v>1158475.5820184676</v>
      </c>
      <c r="CY139" s="777"/>
      <c r="CZ139" s="756"/>
      <c r="DA139" s="778"/>
      <c r="DD139" s="661"/>
      <c r="DE139" s="630"/>
      <c r="DF139" s="630"/>
      <c r="DG139" s="662"/>
      <c r="DH139" s="661"/>
      <c r="DI139" s="630"/>
      <c r="DJ139" s="630"/>
      <c r="DK139" s="662"/>
      <c r="DL139" s="661"/>
      <c r="DM139" s="630"/>
      <c r="DN139" s="630"/>
      <c r="DO139" s="662"/>
      <c r="DP139" s="661"/>
      <c r="DQ139" s="630"/>
      <c r="DR139" s="630"/>
      <c r="DS139" s="662"/>
      <c r="DT139" s="661"/>
      <c r="DU139" s="630"/>
      <c r="DV139" s="630"/>
      <c r="DW139" s="662"/>
      <c r="DX139" s="661"/>
      <c r="DY139" s="630"/>
      <c r="DZ139" s="630"/>
      <c r="EA139" s="662"/>
      <c r="EB139" s="661"/>
      <c r="EC139" s="630"/>
      <c r="ED139" s="630"/>
      <c r="EE139" s="662"/>
      <c r="EF139" s="661"/>
      <c r="EG139" s="630"/>
      <c r="EH139" s="630"/>
      <c r="EI139" s="662"/>
      <c r="EJ139" s="661"/>
      <c r="EK139" s="630"/>
      <c r="EL139" s="630"/>
      <c r="EM139" s="662"/>
      <c r="EN139" s="661"/>
      <c r="EO139" s="630"/>
      <c r="EP139" s="630"/>
      <c r="EQ139" s="662"/>
      <c r="ER139" s="661"/>
      <c r="ES139" s="630"/>
      <c r="ET139" s="630"/>
      <c r="EU139" s="662"/>
      <c r="EW139" s="661"/>
      <c r="EX139" s="630"/>
      <c r="EY139" s="630"/>
      <c r="EZ139" s="662"/>
      <c r="FA139" s="661"/>
      <c r="FB139" s="630"/>
      <c r="FC139" s="630"/>
      <c r="FD139" s="662"/>
    </row>
    <row r="140" spans="1:160">
      <c r="A140" s="753" t="s">
        <v>23</v>
      </c>
      <c r="B140" s="774">
        <v>2056</v>
      </c>
      <c r="C140" s="775"/>
      <c r="D140" s="775"/>
      <c r="E140" s="775"/>
      <c r="F140" s="757"/>
      <c r="G140" s="775"/>
      <c r="H140" s="775"/>
      <c r="I140" s="775"/>
      <c r="J140" s="757"/>
      <c r="K140" s="762"/>
      <c r="L140" s="762"/>
      <c r="M140" s="762"/>
      <c r="N140" s="757"/>
      <c r="O140" s="775"/>
      <c r="P140" s="775"/>
      <c r="Q140" s="775"/>
      <c r="R140" s="757"/>
      <c r="S140" s="630"/>
      <c r="T140" s="630"/>
      <c r="U140" s="630"/>
      <c r="V140" s="662"/>
      <c r="W140" s="630"/>
      <c r="X140" s="630"/>
      <c r="Y140" s="630"/>
      <c r="Z140" s="662"/>
      <c r="AA140" s="680"/>
      <c r="AB140" s="680"/>
      <c r="AC140" s="680"/>
      <c r="AD140" s="680"/>
      <c r="AE140" s="630"/>
      <c r="AF140" s="630"/>
      <c r="AG140" s="630"/>
      <c r="AH140" s="662"/>
      <c r="AI140" s="630"/>
      <c r="AJ140" s="630"/>
      <c r="AK140" s="630"/>
      <c r="AL140" s="662"/>
      <c r="AM140" s="680"/>
      <c r="AN140" s="680"/>
      <c r="AO140" s="680"/>
      <c r="AP140" s="680"/>
      <c r="AQ140" s="630"/>
      <c r="AR140" s="630"/>
      <c r="AS140" s="630"/>
      <c r="AT140" s="662"/>
      <c r="AU140" s="775"/>
      <c r="AV140" s="775"/>
      <c r="AW140" s="775"/>
      <c r="AX140" s="757"/>
      <c r="AY140" s="775"/>
      <c r="AZ140" s="775"/>
      <c r="BA140" s="775"/>
      <c r="BB140" s="757"/>
      <c r="BC140" s="775"/>
      <c r="BD140" s="775"/>
      <c r="BE140" s="775"/>
      <c r="BF140" s="757"/>
      <c r="BG140" s="775"/>
      <c r="BH140" s="775"/>
      <c r="BI140" s="775"/>
      <c r="BJ140" s="757"/>
      <c r="BK140" s="775"/>
      <c r="BL140" s="775"/>
      <c r="BM140" s="775"/>
      <c r="BN140" s="757"/>
      <c r="BO140" s="775"/>
      <c r="BP140" s="775"/>
      <c r="BQ140" s="775"/>
      <c r="BR140" s="757"/>
      <c r="BS140" s="630"/>
      <c r="BT140" s="630"/>
      <c r="BU140" s="630"/>
      <c r="BV140" s="662"/>
      <c r="BW140" s="680"/>
      <c r="BX140" s="680"/>
      <c r="BY140" s="680"/>
      <c r="BZ140" s="680"/>
      <c r="CA140" s="630"/>
      <c r="CB140" s="630"/>
      <c r="CC140" s="630"/>
      <c r="CD140" s="662"/>
      <c r="CE140" s="630"/>
      <c r="CF140" s="630"/>
      <c r="CG140" s="630"/>
      <c r="CH140" s="662"/>
      <c r="CI140" s="661">
        <f>+CI139</f>
        <v>3090.6818181815179</v>
      </c>
      <c r="CJ140" s="630">
        <f>+CJ139</f>
        <v>12362.727272727272</v>
      </c>
      <c r="CK140" s="630">
        <f t="shared" si="125"/>
        <v>-9272.0454545457542</v>
      </c>
      <c r="CL140" s="662">
        <f>+CI$29*CK140+CJ140</f>
        <v>10709.46099557486</v>
      </c>
      <c r="CM140" s="661">
        <f>+CM139</f>
        <v>2055689.5076704673</v>
      </c>
      <c r="CN140" s="630">
        <f>+CN139</f>
        <v>483691.64886363636</v>
      </c>
      <c r="CO140" s="630">
        <f t="shared" si="126"/>
        <v>1571997.8588068308</v>
      </c>
      <c r="CP140" s="662">
        <f>+CM$29*CO140+CN140</f>
        <v>763989.13666844089</v>
      </c>
      <c r="CQ140" s="661">
        <f>+CQ139</f>
        <v>9584245.8305113688</v>
      </c>
      <c r="CR140" s="630">
        <f>+CR139</f>
        <v>2017735.9643181816</v>
      </c>
      <c r="CS140" s="630">
        <f t="shared" si="127"/>
        <v>7566509.8661931874</v>
      </c>
      <c r="CT140" s="662">
        <f>+CQ$29*CS140+CR140</f>
        <v>3366894.104109792</v>
      </c>
      <c r="CU140" s="661">
        <f>+CU139</f>
        <v>3380976.8625000166</v>
      </c>
      <c r="CV140" s="630">
        <f>+CV139</f>
        <v>676195.37250000006</v>
      </c>
      <c r="CW140" s="630">
        <f t="shared" si="128"/>
        <v>2704781.4900000165</v>
      </c>
      <c r="CX140" s="662">
        <f>+CU$29*CW140+CV140</f>
        <v>1158475.5820184676</v>
      </c>
      <c r="CY140" s="777"/>
      <c r="CZ140" s="779"/>
      <c r="DA140" s="752"/>
      <c r="DD140" s="661"/>
      <c r="DE140" s="630"/>
      <c r="DF140" s="630"/>
      <c r="DG140" s="662"/>
      <c r="DH140" s="661"/>
      <c r="DI140" s="630"/>
      <c r="DJ140" s="630"/>
      <c r="DK140" s="662"/>
      <c r="DL140" s="661"/>
      <c r="DM140" s="630"/>
      <c r="DN140" s="630"/>
      <c r="DO140" s="662"/>
      <c r="DP140" s="661"/>
      <c r="DQ140" s="630"/>
      <c r="DR140" s="630"/>
      <c r="DS140" s="662"/>
      <c r="DT140" s="661"/>
      <c r="DU140" s="630"/>
      <c r="DV140" s="630"/>
      <c r="DW140" s="662"/>
      <c r="DX140" s="661"/>
      <c r="DY140" s="630"/>
      <c r="DZ140" s="630"/>
      <c r="EA140" s="662"/>
      <c r="EB140" s="661"/>
      <c r="EC140" s="630"/>
      <c r="ED140" s="630"/>
      <c r="EE140" s="662"/>
      <c r="EF140" s="661"/>
      <c r="EG140" s="630"/>
      <c r="EH140" s="630"/>
      <c r="EI140" s="662"/>
      <c r="EJ140" s="661"/>
      <c r="EK140" s="630"/>
      <c r="EL140" s="630"/>
      <c r="EM140" s="662"/>
      <c r="EN140" s="661"/>
      <c r="EO140" s="630"/>
      <c r="EP140" s="630"/>
      <c r="EQ140" s="662"/>
      <c r="ER140" s="661"/>
      <c r="ES140" s="630"/>
      <c r="ET140" s="630"/>
      <c r="EU140" s="662"/>
      <c r="EW140" s="661"/>
      <c r="EX140" s="630"/>
      <c r="EY140" s="630"/>
      <c r="EZ140" s="662"/>
      <c r="FA140" s="661"/>
      <c r="FB140" s="630"/>
      <c r="FC140" s="630"/>
      <c r="FD140" s="662"/>
    </row>
    <row r="141" spans="1:160">
      <c r="A141" s="753" t="s">
        <v>24</v>
      </c>
      <c r="B141" s="774">
        <v>2057</v>
      </c>
      <c r="C141" s="775"/>
      <c r="D141" s="775"/>
      <c r="E141" s="775"/>
      <c r="F141" s="757"/>
      <c r="G141" s="775"/>
      <c r="H141" s="775"/>
      <c r="I141" s="775"/>
      <c r="J141" s="757"/>
      <c r="K141" s="762"/>
      <c r="L141" s="762"/>
      <c r="M141" s="762"/>
      <c r="N141" s="757"/>
      <c r="O141" s="775"/>
      <c r="P141" s="775"/>
      <c r="Q141" s="775"/>
      <c r="R141" s="757"/>
      <c r="S141" s="630"/>
      <c r="T141" s="630"/>
      <c r="U141" s="630"/>
      <c r="V141" s="662"/>
      <c r="W141" s="630"/>
      <c r="X141" s="630"/>
      <c r="Y141" s="630"/>
      <c r="Z141" s="662"/>
      <c r="AA141" s="680"/>
      <c r="AB141" s="680"/>
      <c r="AC141" s="680"/>
      <c r="AD141" s="680"/>
      <c r="AE141" s="630"/>
      <c r="AF141" s="630"/>
      <c r="AG141" s="630"/>
      <c r="AH141" s="662"/>
      <c r="AI141" s="630"/>
      <c r="AJ141" s="630"/>
      <c r="AK141" s="630"/>
      <c r="AL141" s="662"/>
      <c r="AM141" s="680"/>
      <c r="AN141" s="680"/>
      <c r="AO141" s="680"/>
      <c r="AP141" s="680"/>
      <c r="AQ141" s="630"/>
      <c r="AR141" s="630"/>
      <c r="AS141" s="630"/>
      <c r="AT141" s="662"/>
      <c r="AU141" s="775"/>
      <c r="AV141" s="775"/>
      <c r="AW141" s="775"/>
      <c r="AX141" s="757"/>
      <c r="AY141" s="775"/>
      <c r="AZ141" s="775"/>
      <c r="BA141" s="775"/>
      <c r="BB141" s="757"/>
      <c r="BC141" s="775"/>
      <c r="BD141" s="775"/>
      <c r="BE141" s="775"/>
      <c r="BF141" s="757"/>
      <c r="BG141" s="775"/>
      <c r="BH141" s="775"/>
      <c r="BI141" s="775"/>
      <c r="BJ141" s="757"/>
      <c r="BK141" s="775"/>
      <c r="BL141" s="775"/>
      <c r="BM141" s="775"/>
      <c r="BN141" s="757"/>
      <c r="BO141" s="775"/>
      <c r="BP141" s="775"/>
      <c r="BQ141" s="775"/>
      <c r="BR141" s="757"/>
      <c r="BS141" s="630"/>
      <c r="BT141" s="630"/>
      <c r="BU141" s="630"/>
      <c r="BV141" s="662"/>
      <c r="BW141" s="680"/>
      <c r="BX141" s="680"/>
      <c r="BY141" s="680"/>
      <c r="BZ141" s="680"/>
      <c r="CA141" s="630"/>
      <c r="CB141" s="630"/>
      <c r="CC141" s="630"/>
      <c r="CD141" s="662"/>
      <c r="CE141" s="630"/>
      <c r="CF141" s="630"/>
      <c r="CG141" s="630"/>
      <c r="CH141" s="662"/>
      <c r="CI141" s="680"/>
      <c r="CJ141" s="680"/>
      <c r="CK141" s="680"/>
      <c r="CL141" s="680"/>
      <c r="CM141" s="661">
        <f>+CO140</f>
        <v>1571997.8588068308</v>
      </c>
      <c r="CN141" s="630">
        <f>+CM$31</f>
        <v>483691.64886363636</v>
      </c>
      <c r="CO141" s="630">
        <f t="shared" ref="CO141:CO142" si="129">+CM141-CN141</f>
        <v>1088306.2099431944</v>
      </c>
      <c r="CP141" s="662">
        <f>+CM$28*CO141+CN141</f>
        <v>677743.75580542488</v>
      </c>
      <c r="CQ141" s="661">
        <f>+CS140</f>
        <v>7566509.8661931874</v>
      </c>
      <c r="CR141" s="630">
        <f>+CQ$31</f>
        <v>2017735.9643181816</v>
      </c>
      <c r="CS141" s="630">
        <f t="shared" ref="CS141:CS142" si="130">+CQ141-CR141</f>
        <v>5548773.901875006</v>
      </c>
      <c r="CT141" s="662">
        <f>+CQ$28*CS141+CR141</f>
        <v>3007118.6001653629</v>
      </c>
      <c r="CU141" s="661">
        <f>+CW140</f>
        <v>2704781.4900000165</v>
      </c>
      <c r="CV141" s="630">
        <f>+CU$31</f>
        <v>676195.37250000006</v>
      </c>
      <c r="CW141" s="630">
        <f t="shared" ref="CW141:CW142" si="131">+CU141-CV141</f>
        <v>2028586.1175000165</v>
      </c>
      <c r="CX141" s="662">
        <f>+CU$28*CW141+CV141</f>
        <v>1037905.5296388515</v>
      </c>
      <c r="CY141" s="777"/>
      <c r="CZ141" s="779"/>
      <c r="DA141" s="752"/>
      <c r="DD141" s="661"/>
      <c r="DE141" s="630"/>
      <c r="DF141" s="630"/>
      <c r="DG141" s="662"/>
      <c r="DH141" s="661"/>
      <c r="DI141" s="630"/>
      <c r="DJ141" s="630"/>
      <c r="DK141" s="662"/>
      <c r="DL141" s="661"/>
      <c r="DM141" s="630"/>
      <c r="DN141" s="630"/>
      <c r="DO141" s="662"/>
      <c r="DP141" s="661"/>
      <c r="DQ141" s="630"/>
      <c r="DR141" s="630"/>
      <c r="DS141" s="662"/>
      <c r="DT141" s="661"/>
      <c r="DU141" s="630"/>
      <c r="DV141" s="630"/>
      <c r="DW141" s="662"/>
      <c r="DX141" s="661"/>
      <c r="DY141" s="630"/>
      <c r="DZ141" s="630"/>
      <c r="EA141" s="662"/>
      <c r="EB141" s="661"/>
      <c r="EC141" s="630"/>
      <c r="ED141" s="630"/>
      <c r="EE141" s="662"/>
      <c r="EF141" s="661"/>
      <c r="EG141" s="630"/>
      <c r="EH141" s="630"/>
      <c r="EI141" s="662"/>
      <c r="EJ141" s="661"/>
      <c r="EK141" s="630"/>
      <c r="EL141" s="630"/>
      <c r="EM141" s="662"/>
      <c r="EN141" s="661"/>
      <c r="EO141" s="630"/>
      <c r="EP141" s="630"/>
      <c r="EQ141" s="662"/>
      <c r="ER141" s="661"/>
      <c r="ES141" s="630"/>
      <c r="ET141" s="630"/>
      <c r="EU141" s="662"/>
      <c r="EW141" s="661"/>
      <c r="EX141" s="630"/>
      <c r="EY141" s="630"/>
      <c r="EZ141" s="662"/>
      <c r="FA141" s="661"/>
      <c r="FB141" s="630"/>
      <c r="FC141" s="630"/>
      <c r="FD141" s="662"/>
    </row>
    <row r="142" spans="1:160">
      <c r="A142" s="753" t="s">
        <v>23</v>
      </c>
      <c r="B142" s="774">
        <v>2057</v>
      </c>
      <c r="C142" s="775"/>
      <c r="D142" s="775"/>
      <c r="E142" s="775"/>
      <c r="F142" s="757"/>
      <c r="G142" s="775"/>
      <c r="H142" s="775"/>
      <c r="I142" s="775"/>
      <c r="J142" s="757"/>
      <c r="K142" s="762"/>
      <c r="L142" s="762"/>
      <c r="M142" s="762"/>
      <c r="N142" s="757"/>
      <c r="O142" s="775"/>
      <c r="P142" s="775"/>
      <c r="Q142" s="775"/>
      <c r="R142" s="757"/>
      <c r="S142" s="630"/>
      <c r="T142" s="630"/>
      <c r="U142" s="630"/>
      <c r="V142" s="662"/>
      <c r="W142" s="630"/>
      <c r="X142" s="630"/>
      <c r="Y142" s="630"/>
      <c r="Z142" s="662"/>
      <c r="AA142" s="680"/>
      <c r="AB142" s="680"/>
      <c r="AC142" s="680"/>
      <c r="AD142" s="680"/>
      <c r="AE142" s="630"/>
      <c r="AF142" s="630"/>
      <c r="AG142" s="630"/>
      <c r="AH142" s="662"/>
      <c r="AI142" s="630"/>
      <c r="AJ142" s="630"/>
      <c r="AK142" s="630"/>
      <c r="AL142" s="662"/>
      <c r="AM142" s="680"/>
      <c r="AN142" s="680"/>
      <c r="AO142" s="680"/>
      <c r="AP142" s="680"/>
      <c r="AQ142" s="630"/>
      <c r="AR142" s="630"/>
      <c r="AS142" s="630"/>
      <c r="AT142" s="662"/>
      <c r="AU142" s="775"/>
      <c r="AV142" s="775"/>
      <c r="AW142" s="775"/>
      <c r="AX142" s="757"/>
      <c r="AY142" s="775"/>
      <c r="AZ142" s="775"/>
      <c r="BA142" s="775"/>
      <c r="BB142" s="757"/>
      <c r="BC142" s="775"/>
      <c r="BD142" s="775"/>
      <c r="BE142" s="775"/>
      <c r="BF142" s="757"/>
      <c r="BG142" s="775"/>
      <c r="BH142" s="775"/>
      <c r="BI142" s="775"/>
      <c r="BJ142" s="757"/>
      <c r="BK142" s="775"/>
      <c r="BL142" s="775"/>
      <c r="BM142" s="775"/>
      <c r="BN142" s="757"/>
      <c r="BO142" s="775"/>
      <c r="BP142" s="775"/>
      <c r="BQ142" s="775"/>
      <c r="BR142" s="757"/>
      <c r="BS142" s="630"/>
      <c r="BT142" s="630"/>
      <c r="BU142" s="630"/>
      <c r="BV142" s="662"/>
      <c r="BW142" s="680"/>
      <c r="BX142" s="680"/>
      <c r="BY142" s="680"/>
      <c r="BZ142" s="680"/>
      <c r="CA142" s="630"/>
      <c r="CB142" s="630"/>
      <c r="CC142" s="630"/>
      <c r="CD142" s="662"/>
      <c r="CE142" s="630"/>
      <c r="CF142" s="630"/>
      <c r="CG142" s="630"/>
      <c r="CH142" s="662"/>
      <c r="CI142" s="680"/>
      <c r="CJ142" s="680"/>
      <c r="CK142" s="680"/>
      <c r="CL142" s="680"/>
      <c r="CM142" s="661">
        <f>+CM141</f>
        <v>1571997.8588068308</v>
      </c>
      <c r="CN142" s="630">
        <f>+CN141</f>
        <v>483691.64886363636</v>
      </c>
      <c r="CO142" s="630">
        <f t="shared" si="129"/>
        <v>1088306.2099431944</v>
      </c>
      <c r="CP142" s="662">
        <f>+CM$29*CO142+CN142</f>
        <v>677743.75580542488</v>
      </c>
      <c r="CQ142" s="661">
        <f>+CQ141</f>
        <v>7566509.8661931874</v>
      </c>
      <c r="CR142" s="630">
        <f>+CR141</f>
        <v>2017735.9643181816</v>
      </c>
      <c r="CS142" s="630">
        <f t="shared" si="130"/>
        <v>5548773.901875006</v>
      </c>
      <c r="CT142" s="662">
        <f>+CQ$29*CS142+CR142</f>
        <v>3007118.6001653629</v>
      </c>
      <c r="CU142" s="661">
        <f>+CU141</f>
        <v>2704781.4900000165</v>
      </c>
      <c r="CV142" s="630">
        <f>+CV141</f>
        <v>676195.37250000006</v>
      </c>
      <c r="CW142" s="630">
        <f t="shared" si="131"/>
        <v>2028586.1175000165</v>
      </c>
      <c r="CX142" s="662">
        <f>+CU$29*CW142+CV142</f>
        <v>1037905.5296388515</v>
      </c>
      <c r="CY142" s="777"/>
      <c r="CZ142" s="779"/>
      <c r="DA142" s="752"/>
      <c r="DD142" s="661"/>
      <c r="DE142" s="630"/>
      <c r="DF142" s="630"/>
      <c r="DG142" s="662"/>
      <c r="DH142" s="661"/>
      <c r="DI142" s="630"/>
      <c r="DJ142" s="630"/>
      <c r="DK142" s="662"/>
      <c r="DL142" s="661"/>
      <c r="DM142" s="630"/>
      <c r="DN142" s="630"/>
      <c r="DO142" s="662"/>
      <c r="DP142" s="661"/>
      <c r="DQ142" s="630"/>
      <c r="DR142" s="630"/>
      <c r="DS142" s="662"/>
      <c r="DT142" s="661"/>
      <c r="DU142" s="630"/>
      <c r="DV142" s="630"/>
      <c r="DW142" s="662"/>
      <c r="DX142" s="661"/>
      <c r="DY142" s="630"/>
      <c r="DZ142" s="630"/>
      <c r="EA142" s="662"/>
      <c r="EB142" s="661"/>
      <c r="EC142" s="630"/>
      <c r="ED142" s="630"/>
      <c r="EE142" s="662"/>
      <c r="EF142" s="661"/>
      <c r="EG142" s="630"/>
      <c r="EH142" s="630"/>
      <c r="EI142" s="662"/>
      <c r="EJ142" s="661"/>
      <c r="EK142" s="630"/>
      <c r="EL142" s="630"/>
      <c r="EM142" s="662"/>
      <c r="EN142" s="661"/>
      <c r="EO142" s="630"/>
      <c r="EP142" s="630"/>
      <c r="EQ142" s="662"/>
      <c r="ER142" s="661"/>
      <c r="ES142" s="630"/>
      <c r="ET142" s="630"/>
      <c r="EU142" s="662"/>
      <c r="EW142" s="661"/>
      <c r="EX142" s="630"/>
      <c r="EY142" s="630"/>
      <c r="EZ142" s="662"/>
      <c r="FA142" s="661"/>
      <c r="FB142" s="630"/>
      <c r="FC142" s="630"/>
      <c r="FD142" s="662"/>
    </row>
    <row r="143" spans="1:160">
      <c r="A143" s="753" t="s">
        <v>24</v>
      </c>
      <c r="B143" s="774">
        <v>2058</v>
      </c>
      <c r="C143" s="775"/>
      <c r="D143" s="775"/>
      <c r="E143" s="775"/>
      <c r="F143" s="757"/>
      <c r="G143" s="775"/>
      <c r="H143" s="775"/>
      <c r="I143" s="775"/>
      <c r="J143" s="757"/>
      <c r="K143" s="762"/>
      <c r="L143" s="762"/>
      <c r="M143" s="762"/>
      <c r="N143" s="757"/>
      <c r="O143" s="775"/>
      <c r="P143" s="775"/>
      <c r="Q143" s="775"/>
      <c r="R143" s="757"/>
      <c r="S143" s="630"/>
      <c r="T143" s="630"/>
      <c r="U143" s="630"/>
      <c r="V143" s="662"/>
      <c r="W143" s="630"/>
      <c r="X143" s="630"/>
      <c r="Y143" s="630"/>
      <c r="Z143" s="662"/>
      <c r="AA143" s="680"/>
      <c r="AB143" s="680"/>
      <c r="AC143" s="680"/>
      <c r="AD143" s="680"/>
      <c r="AE143" s="630"/>
      <c r="AF143" s="630"/>
      <c r="AG143" s="630"/>
      <c r="AH143" s="662"/>
      <c r="AI143" s="630"/>
      <c r="AJ143" s="630"/>
      <c r="AK143" s="630"/>
      <c r="AL143" s="662"/>
      <c r="AM143" s="680"/>
      <c r="AN143" s="680"/>
      <c r="AO143" s="680"/>
      <c r="AP143" s="680"/>
      <c r="AQ143" s="630"/>
      <c r="AR143" s="630"/>
      <c r="AS143" s="630"/>
      <c r="AT143" s="662"/>
      <c r="AU143" s="775"/>
      <c r="AV143" s="775"/>
      <c r="AW143" s="775"/>
      <c r="AX143" s="757"/>
      <c r="AY143" s="775"/>
      <c r="AZ143" s="775"/>
      <c r="BA143" s="775"/>
      <c r="BB143" s="757"/>
      <c r="BC143" s="775"/>
      <c r="BD143" s="775"/>
      <c r="BE143" s="775"/>
      <c r="BF143" s="757"/>
      <c r="BG143" s="775"/>
      <c r="BH143" s="775"/>
      <c r="BI143" s="775"/>
      <c r="BJ143" s="757"/>
      <c r="BK143" s="775"/>
      <c r="BL143" s="775"/>
      <c r="BM143" s="775"/>
      <c r="BN143" s="757"/>
      <c r="BO143" s="775"/>
      <c r="BP143" s="775"/>
      <c r="BQ143" s="775"/>
      <c r="BR143" s="757"/>
      <c r="BS143" s="630"/>
      <c r="BT143" s="630"/>
      <c r="BU143" s="630"/>
      <c r="BV143" s="662"/>
      <c r="BW143" s="680"/>
      <c r="BX143" s="680"/>
      <c r="BY143" s="680"/>
      <c r="BZ143" s="680"/>
      <c r="CA143" s="630"/>
      <c r="CB143" s="630"/>
      <c r="CC143" s="630"/>
      <c r="CD143" s="662"/>
      <c r="CE143" s="630"/>
      <c r="CF143" s="630"/>
      <c r="CG143" s="630"/>
      <c r="CH143" s="662"/>
      <c r="CI143" s="680"/>
      <c r="CJ143" s="680"/>
      <c r="CK143" s="680"/>
      <c r="CL143" s="680"/>
      <c r="CM143" s="661">
        <f>+CO142</f>
        <v>1088306.2099431944</v>
      </c>
      <c r="CN143" s="630">
        <f>+CM$31</f>
        <v>483691.64886363636</v>
      </c>
      <c r="CO143" s="630">
        <f t="shared" ref="CO143:CO144" si="132">+CM143-CN143</f>
        <v>604614.56107955799</v>
      </c>
      <c r="CP143" s="662">
        <f>+CM$28*CO143+CN143</f>
        <v>591498.37494240876</v>
      </c>
      <c r="CQ143" s="661">
        <f>+CS142</f>
        <v>5548773.901875006</v>
      </c>
      <c r="CR143" s="630">
        <f>+CQ$31</f>
        <v>2017735.9643181816</v>
      </c>
      <c r="CS143" s="630">
        <f t="shared" ref="CS143:CS144" si="133">+CQ143-CR143</f>
        <v>3531037.9375568246</v>
      </c>
      <c r="CT143" s="662">
        <f>+CQ$28*CS143+CR143</f>
        <v>2647343.0962209338</v>
      </c>
      <c r="CU143" s="661">
        <f>+CW142</f>
        <v>2028586.1175000165</v>
      </c>
      <c r="CV143" s="630">
        <f>+CU$31</f>
        <v>676195.37250000006</v>
      </c>
      <c r="CW143" s="630">
        <f t="shared" ref="CW143:CW144" si="134">+CU143-CV143</f>
        <v>1352390.7450000164</v>
      </c>
      <c r="CX143" s="662">
        <f>+CU$28*CW143+CV143</f>
        <v>917335.47725923522</v>
      </c>
      <c r="CY143" s="777"/>
      <c r="CZ143" s="779"/>
      <c r="DA143" s="752"/>
      <c r="DD143" s="661"/>
      <c r="DE143" s="630"/>
      <c r="DF143" s="630"/>
      <c r="DG143" s="662"/>
      <c r="DH143" s="661"/>
      <c r="DI143" s="630"/>
      <c r="DJ143" s="630"/>
      <c r="DK143" s="662"/>
      <c r="DL143" s="661"/>
      <c r="DM143" s="630"/>
      <c r="DN143" s="630"/>
      <c r="DO143" s="662"/>
      <c r="DP143" s="661"/>
      <c r="DQ143" s="630"/>
      <c r="DR143" s="630"/>
      <c r="DS143" s="662"/>
      <c r="DT143" s="661"/>
      <c r="DU143" s="630"/>
      <c r="DV143" s="630"/>
      <c r="DW143" s="662"/>
      <c r="DX143" s="661"/>
      <c r="DY143" s="630"/>
      <c r="DZ143" s="630"/>
      <c r="EA143" s="662"/>
      <c r="EB143" s="661"/>
      <c r="EC143" s="630"/>
      <c r="ED143" s="630"/>
      <c r="EE143" s="662"/>
      <c r="EF143" s="661"/>
      <c r="EG143" s="630"/>
      <c r="EH143" s="630"/>
      <c r="EI143" s="662"/>
      <c r="EJ143" s="661"/>
      <c r="EK143" s="630"/>
      <c r="EL143" s="630"/>
      <c r="EM143" s="662"/>
      <c r="EN143" s="661"/>
      <c r="EO143" s="630"/>
      <c r="EP143" s="630"/>
      <c r="EQ143" s="662"/>
      <c r="ER143" s="661"/>
      <c r="ES143" s="630"/>
      <c r="ET143" s="630"/>
      <c r="EU143" s="662"/>
      <c r="EW143" s="661"/>
      <c r="EX143" s="630"/>
      <c r="EY143" s="630"/>
      <c r="EZ143" s="662"/>
      <c r="FA143" s="661"/>
      <c r="FB143" s="630"/>
      <c r="FC143" s="630"/>
      <c r="FD143" s="662"/>
    </row>
    <row r="144" spans="1:160">
      <c r="A144" s="753" t="s">
        <v>23</v>
      </c>
      <c r="B144" s="774">
        <v>2058</v>
      </c>
      <c r="C144" s="775"/>
      <c r="D144" s="775"/>
      <c r="E144" s="775"/>
      <c r="F144" s="757"/>
      <c r="G144" s="775"/>
      <c r="H144" s="775"/>
      <c r="I144" s="775"/>
      <c r="J144" s="757"/>
      <c r="K144" s="762"/>
      <c r="L144" s="762"/>
      <c r="M144" s="762"/>
      <c r="N144" s="757"/>
      <c r="O144" s="775"/>
      <c r="P144" s="775"/>
      <c r="Q144" s="775"/>
      <c r="R144" s="757"/>
      <c r="S144" s="630"/>
      <c r="T144" s="630"/>
      <c r="U144" s="630"/>
      <c r="V144" s="662"/>
      <c r="W144" s="630"/>
      <c r="X144" s="630"/>
      <c r="Y144" s="630"/>
      <c r="Z144" s="662"/>
      <c r="AA144" s="680"/>
      <c r="AB144" s="680"/>
      <c r="AC144" s="680"/>
      <c r="AD144" s="680"/>
      <c r="AE144" s="630"/>
      <c r="AF144" s="630"/>
      <c r="AG144" s="630"/>
      <c r="AH144" s="662"/>
      <c r="AI144" s="630"/>
      <c r="AJ144" s="630"/>
      <c r="AK144" s="630"/>
      <c r="AL144" s="662"/>
      <c r="AM144" s="680"/>
      <c r="AN144" s="680"/>
      <c r="AO144" s="680"/>
      <c r="AP144" s="680"/>
      <c r="AQ144" s="630"/>
      <c r="AR144" s="630"/>
      <c r="AS144" s="630"/>
      <c r="AT144" s="662"/>
      <c r="AU144" s="775"/>
      <c r="AV144" s="775"/>
      <c r="AW144" s="775"/>
      <c r="AX144" s="757"/>
      <c r="AY144" s="775"/>
      <c r="AZ144" s="775"/>
      <c r="BA144" s="775"/>
      <c r="BB144" s="757"/>
      <c r="BC144" s="775"/>
      <c r="BD144" s="775"/>
      <c r="BE144" s="775"/>
      <c r="BF144" s="757"/>
      <c r="BG144" s="775"/>
      <c r="BH144" s="775"/>
      <c r="BI144" s="775"/>
      <c r="BJ144" s="757"/>
      <c r="BK144" s="775"/>
      <c r="BL144" s="775"/>
      <c r="BM144" s="775"/>
      <c r="BN144" s="757"/>
      <c r="BO144" s="775"/>
      <c r="BP144" s="775"/>
      <c r="BQ144" s="775"/>
      <c r="BR144" s="757"/>
      <c r="BS144" s="630"/>
      <c r="BT144" s="630"/>
      <c r="BU144" s="630"/>
      <c r="BV144" s="662"/>
      <c r="BW144" s="680"/>
      <c r="BX144" s="680"/>
      <c r="BY144" s="680"/>
      <c r="BZ144" s="680"/>
      <c r="CA144" s="630"/>
      <c r="CB144" s="630"/>
      <c r="CC144" s="630"/>
      <c r="CD144" s="662"/>
      <c r="CE144" s="630"/>
      <c r="CF144" s="630"/>
      <c r="CG144" s="630"/>
      <c r="CH144" s="662"/>
      <c r="CI144" s="680"/>
      <c r="CJ144" s="680"/>
      <c r="CK144" s="680"/>
      <c r="CL144" s="680"/>
      <c r="CM144" s="661">
        <f>+CM143</f>
        <v>1088306.2099431944</v>
      </c>
      <c r="CN144" s="630">
        <f>+CN143</f>
        <v>483691.64886363636</v>
      </c>
      <c r="CO144" s="630">
        <f t="shared" si="132"/>
        <v>604614.56107955799</v>
      </c>
      <c r="CP144" s="662">
        <f>+CM$29*CO144+CN144</f>
        <v>591498.37494240876</v>
      </c>
      <c r="CQ144" s="661">
        <f>+CQ143</f>
        <v>5548773.901875006</v>
      </c>
      <c r="CR144" s="630">
        <f>+CR143</f>
        <v>2017735.9643181816</v>
      </c>
      <c r="CS144" s="630">
        <f t="shared" si="133"/>
        <v>3531037.9375568246</v>
      </c>
      <c r="CT144" s="662">
        <f>+CQ$29*CS144+CR144</f>
        <v>2647343.0962209338</v>
      </c>
      <c r="CU144" s="661">
        <f>+CU143</f>
        <v>2028586.1175000165</v>
      </c>
      <c r="CV144" s="630">
        <f>+CV143</f>
        <v>676195.37250000006</v>
      </c>
      <c r="CW144" s="630">
        <f t="shared" si="134"/>
        <v>1352390.7450000164</v>
      </c>
      <c r="CX144" s="662">
        <f>+CU$29*CW144+CV144</f>
        <v>917335.47725923522</v>
      </c>
      <c r="CY144" s="777"/>
      <c r="CZ144" s="779"/>
      <c r="DA144" s="752"/>
      <c r="DD144" s="661"/>
      <c r="DE144" s="630"/>
      <c r="DF144" s="630"/>
      <c r="DG144" s="662"/>
      <c r="DH144" s="661"/>
      <c r="DI144" s="630"/>
      <c r="DJ144" s="630"/>
      <c r="DK144" s="662"/>
      <c r="DL144" s="661"/>
      <c r="DM144" s="630"/>
      <c r="DN144" s="630"/>
      <c r="DO144" s="662"/>
      <c r="DP144" s="661"/>
      <c r="DQ144" s="630"/>
      <c r="DR144" s="630"/>
      <c r="DS144" s="662"/>
      <c r="DT144" s="661"/>
      <c r="DU144" s="630"/>
      <c r="DV144" s="630"/>
      <c r="DW144" s="662"/>
      <c r="DX144" s="661"/>
      <c r="DY144" s="630"/>
      <c r="DZ144" s="630"/>
      <c r="EA144" s="662"/>
      <c r="EB144" s="661"/>
      <c r="EC144" s="630"/>
      <c r="ED144" s="630"/>
      <c r="EE144" s="662"/>
      <c r="EF144" s="661"/>
      <c r="EG144" s="630"/>
      <c r="EH144" s="630"/>
      <c r="EI144" s="662"/>
      <c r="EJ144" s="661"/>
      <c r="EK144" s="630"/>
      <c r="EL144" s="630"/>
      <c r="EM144" s="662"/>
      <c r="EN144" s="661"/>
      <c r="EO144" s="630"/>
      <c r="EP144" s="630"/>
      <c r="EQ144" s="662"/>
      <c r="ER144" s="661"/>
      <c r="ES144" s="630"/>
      <c r="ET144" s="630"/>
      <c r="EU144" s="662"/>
      <c r="EW144" s="661"/>
      <c r="EX144" s="630"/>
      <c r="EY144" s="630"/>
      <c r="EZ144" s="662"/>
      <c r="FA144" s="661"/>
      <c r="FB144" s="630"/>
      <c r="FC144" s="630"/>
      <c r="FD144" s="662"/>
    </row>
    <row r="145" spans="1:160">
      <c r="A145" s="753" t="s">
        <v>24</v>
      </c>
      <c r="B145" s="774">
        <v>2059</v>
      </c>
      <c r="C145" s="775"/>
      <c r="D145" s="775"/>
      <c r="E145" s="775"/>
      <c r="F145" s="757"/>
      <c r="G145" s="775"/>
      <c r="H145" s="775"/>
      <c r="I145" s="775"/>
      <c r="J145" s="757"/>
      <c r="K145" s="762"/>
      <c r="L145" s="762"/>
      <c r="M145" s="762"/>
      <c r="N145" s="757"/>
      <c r="O145" s="775"/>
      <c r="P145" s="775"/>
      <c r="Q145" s="775"/>
      <c r="R145" s="757"/>
      <c r="S145" s="630"/>
      <c r="T145" s="630"/>
      <c r="U145" s="630"/>
      <c r="V145" s="662"/>
      <c r="W145" s="630"/>
      <c r="X145" s="630"/>
      <c r="Y145" s="630"/>
      <c r="Z145" s="662"/>
      <c r="AA145" s="680"/>
      <c r="AB145" s="680"/>
      <c r="AC145" s="680"/>
      <c r="AD145" s="680"/>
      <c r="AE145" s="630"/>
      <c r="AF145" s="630"/>
      <c r="AG145" s="630"/>
      <c r="AH145" s="662"/>
      <c r="AI145" s="630"/>
      <c r="AJ145" s="630"/>
      <c r="AK145" s="630"/>
      <c r="AL145" s="662"/>
      <c r="AM145" s="680"/>
      <c r="AN145" s="680"/>
      <c r="AO145" s="680"/>
      <c r="AP145" s="680"/>
      <c r="AQ145" s="630"/>
      <c r="AR145" s="630"/>
      <c r="AS145" s="630"/>
      <c r="AT145" s="662"/>
      <c r="AU145" s="775"/>
      <c r="AV145" s="775"/>
      <c r="AW145" s="775"/>
      <c r="AX145" s="757"/>
      <c r="AY145" s="775"/>
      <c r="AZ145" s="775"/>
      <c r="BA145" s="775"/>
      <c r="BB145" s="757"/>
      <c r="BC145" s="775"/>
      <c r="BD145" s="775"/>
      <c r="BE145" s="775"/>
      <c r="BF145" s="757"/>
      <c r="BG145" s="775"/>
      <c r="BH145" s="775"/>
      <c r="BI145" s="775"/>
      <c r="BJ145" s="757"/>
      <c r="BK145" s="775"/>
      <c r="BL145" s="775"/>
      <c r="BM145" s="775"/>
      <c r="BN145" s="757"/>
      <c r="BO145" s="775"/>
      <c r="BP145" s="775"/>
      <c r="BQ145" s="775"/>
      <c r="BR145" s="757"/>
      <c r="BS145" s="630"/>
      <c r="BT145" s="630"/>
      <c r="BU145" s="630"/>
      <c r="BV145" s="662"/>
      <c r="BW145" s="680"/>
      <c r="BX145" s="680"/>
      <c r="BY145" s="680"/>
      <c r="BZ145" s="680"/>
      <c r="CA145" s="630"/>
      <c r="CB145" s="630"/>
      <c r="CC145" s="630"/>
      <c r="CD145" s="662"/>
      <c r="CE145" s="630"/>
      <c r="CF145" s="630"/>
      <c r="CG145" s="630"/>
      <c r="CH145" s="662"/>
      <c r="CI145" s="680"/>
      <c r="CJ145" s="680"/>
      <c r="CK145" s="680"/>
      <c r="CL145" s="680"/>
      <c r="CM145" s="661">
        <f>+CO144</f>
        <v>604614.56107955799</v>
      </c>
      <c r="CN145" s="630">
        <f>+CM$31</f>
        <v>483691.64886363636</v>
      </c>
      <c r="CO145" s="630">
        <f t="shared" ref="CO145:CO146" si="135">+CM145-CN145</f>
        <v>120922.91221592162</v>
      </c>
      <c r="CP145" s="662">
        <f>+CM$28*CO145+CN145</f>
        <v>505252.99407939264</v>
      </c>
      <c r="CQ145" s="661">
        <f>+CS144</f>
        <v>3531037.9375568246</v>
      </c>
      <c r="CR145" s="630">
        <f>+CQ$31</f>
        <v>2017735.9643181816</v>
      </c>
      <c r="CS145" s="630">
        <f t="shared" ref="CS145:CS146" si="136">+CQ145-CR145</f>
        <v>1513301.973238643</v>
      </c>
      <c r="CT145" s="662">
        <f>+CQ$28*CS145+CR145</f>
        <v>2287567.5922765047</v>
      </c>
      <c r="CU145" s="661">
        <f>+CW144</f>
        <v>1352390.7450000164</v>
      </c>
      <c r="CV145" s="630">
        <f>+CU$31</f>
        <v>676195.37250000006</v>
      </c>
      <c r="CW145" s="630">
        <f t="shared" ref="CW145:CW146" si="137">+CU145-CV145</f>
        <v>676195.37250001635</v>
      </c>
      <c r="CX145" s="662">
        <f>+CU$28*CW145+CV145</f>
        <v>796765.42487961915</v>
      </c>
      <c r="CY145" s="777"/>
      <c r="CZ145" s="779"/>
      <c r="DA145" s="752"/>
      <c r="DD145" s="661"/>
      <c r="DE145" s="630"/>
      <c r="DF145" s="630"/>
      <c r="DG145" s="662"/>
      <c r="DH145" s="661"/>
      <c r="DI145" s="630"/>
      <c r="DJ145" s="630"/>
      <c r="DK145" s="662"/>
      <c r="DL145" s="661"/>
      <c r="DM145" s="630"/>
      <c r="DN145" s="630"/>
      <c r="DO145" s="662"/>
      <c r="DP145" s="661"/>
      <c r="DQ145" s="630"/>
      <c r="DR145" s="630"/>
      <c r="DS145" s="662"/>
      <c r="DT145" s="661"/>
      <c r="DU145" s="630"/>
      <c r="DV145" s="630"/>
      <c r="DW145" s="662"/>
      <c r="DX145" s="661"/>
      <c r="DY145" s="630"/>
      <c r="DZ145" s="630"/>
      <c r="EA145" s="662"/>
      <c r="EB145" s="661"/>
      <c r="EC145" s="630"/>
      <c r="ED145" s="630"/>
      <c r="EE145" s="662"/>
      <c r="EF145" s="661"/>
      <c r="EG145" s="630"/>
      <c r="EH145" s="630"/>
      <c r="EI145" s="662"/>
      <c r="EJ145" s="661"/>
      <c r="EK145" s="630"/>
      <c r="EL145" s="630"/>
      <c r="EM145" s="662"/>
      <c r="EN145" s="661"/>
      <c r="EO145" s="630"/>
      <c r="EP145" s="630"/>
      <c r="EQ145" s="662"/>
      <c r="ER145" s="661"/>
      <c r="ES145" s="630"/>
      <c r="ET145" s="630"/>
      <c r="EU145" s="662"/>
      <c r="EW145" s="661"/>
      <c r="EX145" s="630"/>
      <c r="EY145" s="630"/>
      <c r="EZ145" s="662"/>
      <c r="FA145" s="661"/>
      <c r="FB145" s="630"/>
      <c r="FC145" s="630"/>
      <c r="FD145" s="662"/>
    </row>
    <row r="146" spans="1:160">
      <c r="A146" s="753" t="s">
        <v>23</v>
      </c>
      <c r="B146" s="774">
        <v>2059</v>
      </c>
      <c r="C146" s="775"/>
      <c r="D146" s="775"/>
      <c r="E146" s="775"/>
      <c r="F146" s="757"/>
      <c r="G146" s="775"/>
      <c r="H146" s="775"/>
      <c r="I146" s="775"/>
      <c r="J146" s="757"/>
      <c r="K146" s="762"/>
      <c r="L146" s="762"/>
      <c r="M146" s="762"/>
      <c r="N146" s="757"/>
      <c r="O146" s="775"/>
      <c r="P146" s="775"/>
      <c r="Q146" s="775"/>
      <c r="R146" s="757"/>
      <c r="S146" s="630"/>
      <c r="T146" s="630"/>
      <c r="U146" s="630"/>
      <c r="V146" s="662"/>
      <c r="W146" s="630"/>
      <c r="X146" s="630"/>
      <c r="Y146" s="630"/>
      <c r="Z146" s="662"/>
      <c r="AA146" s="680"/>
      <c r="AB146" s="680"/>
      <c r="AC146" s="680"/>
      <c r="AD146" s="680"/>
      <c r="AE146" s="630"/>
      <c r="AF146" s="630"/>
      <c r="AG146" s="630"/>
      <c r="AH146" s="662"/>
      <c r="AI146" s="630"/>
      <c r="AJ146" s="630"/>
      <c r="AK146" s="630"/>
      <c r="AL146" s="662"/>
      <c r="AM146" s="680"/>
      <c r="AN146" s="680"/>
      <c r="AO146" s="680"/>
      <c r="AP146" s="680"/>
      <c r="AQ146" s="630"/>
      <c r="AR146" s="630"/>
      <c r="AS146" s="630"/>
      <c r="AT146" s="662"/>
      <c r="AU146" s="775"/>
      <c r="AV146" s="775"/>
      <c r="AW146" s="775"/>
      <c r="AX146" s="757"/>
      <c r="AY146" s="775"/>
      <c r="AZ146" s="775"/>
      <c r="BA146" s="775"/>
      <c r="BB146" s="757"/>
      <c r="BC146" s="775"/>
      <c r="BD146" s="775"/>
      <c r="BE146" s="775"/>
      <c r="BF146" s="757"/>
      <c r="BG146" s="775"/>
      <c r="BH146" s="775"/>
      <c r="BI146" s="775"/>
      <c r="BJ146" s="757"/>
      <c r="BK146" s="775"/>
      <c r="BL146" s="775"/>
      <c r="BM146" s="775"/>
      <c r="BN146" s="757"/>
      <c r="BO146" s="775"/>
      <c r="BP146" s="775"/>
      <c r="BQ146" s="775"/>
      <c r="BR146" s="757"/>
      <c r="BS146" s="630"/>
      <c r="BT146" s="630"/>
      <c r="BU146" s="630"/>
      <c r="BV146" s="662"/>
      <c r="BW146" s="680"/>
      <c r="BX146" s="680"/>
      <c r="BY146" s="680"/>
      <c r="BZ146" s="680"/>
      <c r="CA146" s="630"/>
      <c r="CB146" s="630"/>
      <c r="CC146" s="630"/>
      <c r="CD146" s="662"/>
      <c r="CE146" s="630"/>
      <c r="CF146" s="630"/>
      <c r="CG146" s="630"/>
      <c r="CH146" s="662"/>
      <c r="CI146" s="680"/>
      <c r="CJ146" s="680"/>
      <c r="CK146" s="680"/>
      <c r="CL146" s="680"/>
      <c r="CM146" s="661">
        <f>+CM145</f>
        <v>604614.56107955799</v>
      </c>
      <c r="CN146" s="630">
        <f>+CN145</f>
        <v>483691.64886363636</v>
      </c>
      <c r="CO146" s="630">
        <f t="shared" si="135"/>
        <v>120922.91221592162</v>
      </c>
      <c r="CP146" s="662">
        <f>+CM$29*CO146+CN146</f>
        <v>505252.99407939264</v>
      </c>
      <c r="CQ146" s="661">
        <f>+CQ145</f>
        <v>3531037.9375568246</v>
      </c>
      <c r="CR146" s="630">
        <f>+CR145</f>
        <v>2017735.9643181816</v>
      </c>
      <c r="CS146" s="630">
        <f t="shared" si="136"/>
        <v>1513301.973238643</v>
      </c>
      <c r="CT146" s="662">
        <f>+CQ$29*CS146+CR146</f>
        <v>2287567.5922765047</v>
      </c>
      <c r="CU146" s="661">
        <f>+CU145</f>
        <v>1352390.7450000164</v>
      </c>
      <c r="CV146" s="630">
        <f>+CV145</f>
        <v>676195.37250000006</v>
      </c>
      <c r="CW146" s="630">
        <f t="shared" si="137"/>
        <v>676195.37250001635</v>
      </c>
      <c r="CX146" s="662">
        <f>+CU$29*CW146+CV146</f>
        <v>796765.42487961915</v>
      </c>
      <c r="CY146" s="777"/>
      <c r="CZ146" s="779"/>
      <c r="DA146" s="752"/>
      <c r="DD146" s="661"/>
      <c r="DE146" s="630"/>
      <c r="DF146" s="630"/>
      <c r="DG146" s="662"/>
      <c r="DH146" s="661"/>
      <c r="DI146" s="630"/>
      <c r="DJ146" s="630"/>
      <c r="DK146" s="662"/>
      <c r="DL146" s="661"/>
      <c r="DM146" s="630"/>
      <c r="DN146" s="630"/>
      <c r="DO146" s="662"/>
      <c r="DP146" s="661"/>
      <c r="DQ146" s="630"/>
      <c r="DR146" s="630"/>
      <c r="DS146" s="662"/>
      <c r="DT146" s="661"/>
      <c r="DU146" s="630"/>
      <c r="DV146" s="630"/>
      <c r="DW146" s="662"/>
      <c r="DX146" s="661"/>
      <c r="DY146" s="630"/>
      <c r="DZ146" s="630"/>
      <c r="EA146" s="662"/>
      <c r="EB146" s="661"/>
      <c r="EC146" s="630"/>
      <c r="ED146" s="630"/>
      <c r="EE146" s="662"/>
      <c r="EF146" s="661"/>
      <c r="EG146" s="630"/>
      <c r="EH146" s="630"/>
      <c r="EI146" s="662"/>
      <c r="EJ146" s="661"/>
      <c r="EK146" s="630"/>
      <c r="EL146" s="630"/>
      <c r="EM146" s="662"/>
      <c r="EN146" s="661"/>
      <c r="EO146" s="630"/>
      <c r="EP146" s="630"/>
      <c r="EQ146" s="662"/>
      <c r="ER146" s="661"/>
      <c r="ES146" s="630"/>
      <c r="ET146" s="630"/>
      <c r="EU146" s="662"/>
      <c r="EW146" s="661"/>
      <c r="EX146" s="630"/>
      <c r="EY146" s="630"/>
      <c r="EZ146" s="662"/>
      <c r="FA146" s="661"/>
      <c r="FB146" s="630"/>
      <c r="FC146" s="630"/>
      <c r="FD146" s="662"/>
    </row>
    <row r="147" spans="1:160">
      <c r="A147" s="753" t="s">
        <v>24</v>
      </c>
      <c r="B147" s="774">
        <v>2060</v>
      </c>
      <c r="C147" s="775"/>
      <c r="D147" s="775"/>
      <c r="E147" s="775"/>
      <c r="F147" s="757"/>
      <c r="G147" s="775"/>
      <c r="H147" s="775"/>
      <c r="I147" s="775"/>
      <c r="J147" s="757"/>
      <c r="K147" s="762"/>
      <c r="L147" s="762"/>
      <c r="M147" s="762"/>
      <c r="N147" s="757"/>
      <c r="O147" s="775"/>
      <c r="P147" s="775"/>
      <c r="Q147" s="775"/>
      <c r="R147" s="757"/>
      <c r="S147" s="630"/>
      <c r="T147" s="630"/>
      <c r="U147" s="630"/>
      <c r="V147" s="662"/>
      <c r="W147" s="630"/>
      <c r="X147" s="630"/>
      <c r="Y147" s="630"/>
      <c r="Z147" s="662"/>
      <c r="AA147" s="680"/>
      <c r="AB147" s="680"/>
      <c r="AC147" s="680"/>
      <c r="AD147" s="680"/>
      <c r="AE147" s="630"/>
      <c r="AF147" s="630"/>
      <c r="AG147" s="630"/>
      <c r="AH147" s="662"/>
      <c r="AI147" s="630"/>
      <c r="AJ147" s="630"/>
      <c r="AK147" s="630"/>
      <c r="AL147" s="662"/>
      <c r="AM147" s="680"/>
      <c r="AN147" s="680"/>
      <c r="AO147" s="680"/>
      <c r="AP147" s="680"/>
      <c r="AQ147" s="630"/>
      <c r="AR147" s="630"/>
      <c r="AS147" s="630"/>
      <c r="AT147" s="662"/>
      <c r="AU147" s="775"/>
      <c r="AV147" s="775"/>
      <c r="AW147" s="775"/>
      <c r="AX147" s="757"/>
      <c r="AY147" s="775"/>
      <c r="AZ147" s="775"/>
      <c r="BA147" s="775"/>
      <c r="BB147" s="757"/>
      <c r="BC147" s="775"/>
      <c r="BD147" s="775"/>
      <c r="BE147" s="775"/>
      <c r="BF147" s="757"/>
      <c r="BG147" s="775"/>
      <c r="BH147" s="775"/>
      <c r="BI147" s="775"/>
      <c r="BJ147" s="757"/>
      <c r="BK147" s="775"/>
      <c r="BL147" s="775"/>
      <c r="BM147" s="775"/>
      <c r="BN147" s="757"/>
      <c r="BO147" s="775"/>
      <c r="BP147" s="775"/>
      <c r="BQ147" s="775"/>
      <c r="BR147" s="757"/>
      <c r="BS147" s="630"/>
      <c r="BT147" s="630"/>
      <c r="BU147" s="630"/>
      <c r="BV147" s="662"/>
      <c r="BW147" s="680"/>
      <c r="BX147" s="680"/>
      <c r="BY147" s="680"/>
      <c r="BZ147" s="680"/>
      <c r="CA147" s="630"/>
      <c r="CB147" s="630"/>
      <c r="CC147" s="630"/>
      <c r="CD147" s="662"/>
      <c r="CE147" s="630"/>
      <c r="CF147" s="630"/>
      <c r="CG147" s="630"/>
      <c r="CH147" s="662"/>
      <c r="CI147" s="680"/>
      <c r="CJ147" s="680"/>
      <c r="CK147" s="680"/>
      <c r="CL147" s="680"/>
      <c r="CM147" s="661">
        <f>+CO146</f>
        <v>120922.91221592162</v>
      </c>
      <c r="CN147" s="630">
        <f>+CM$31</f>
        <v>483691.64886363636</v>
      </c>
      <c r="CO147" s="630">
        <f t="shared" ref="CO147:CO148" si="138">+CM147-CN147</f>
        <v>-362768.73664771474</v>
      </c>
      <c r="CP147" s="662">
        <f>+CM$28*CO147+CN147</f>
        <v>419007.61321637651</v>
      </c>
      <c r="CQ147" s="661">
        <f>+CS146</f>
        <v>1513301.973238643</v>
      </c>
      <c r="CR147" s="630">
        <f>+CQ$31</f>
        <v>2017735.9643181816</v>
      </c>
      <c r="CS147" s="630">
        <f t="shared" ref="CS147:CS148" si="139">+CQ147-CR147</f>
        <v>-504433.99107953859</v>
      </c>
      <c r="CT147" s="662">
        <f>+CQ$28*CS147+CR147</f>
        <v>1927792.0883320756</v>
      </c>
      <c r="CU147" s="661">
        <f>+CW146</f>
        <v>676195.37250001635</v>
      </c>
      <c r="CV147" s="630">
        <f>+CU$31</f>
        <v>676195.37250000006</v>
      </c>
      <c r="CW147" s="630">
        <f t="shared" ref="CW147:CW148" si="140">+CU147-CV147</f>
        <v>1.6298145055770874E-8</v>
      </c>
      <c r="CX147" s="662">
        <f>+CU$28*CW147+CV147</f>
        <v>676195.37250000297</v>
      </c>
      <c r="CY147" s="777"/>
      <c r="CZ147" s="779"/>
      <c r="DA147" s="752"/>
      <c r="DD147" s="661"/>
      <c r="DE147" s="630"/>
      <c r="DF147" s="630"/>
      <c r="DG147" s="662"/>
      <c r="DH147" s="661"/>
      <c r="DI147" s="630"/>
      <c r="DJ147" s="630"/>
      <c r="DK147" s="662"/>
      <c r="DL147" s="661"/>
      <c r="DM147" s="630"/>
      <c r="DN147" s="630"/>
      <c r="DO147" s="662"/>
      <c r="DP147" s="661"/>
      <c r="DQ147" s="630"/>
      <c r="DR147" s="630"/>
      <c r="DS147" s="662"/>
      <c r="DT147" s="661"/>
      <c r="DU147" s="630"/>
      <c r="DV147" s="630"/>
      <c r="DW147" s="662"/>
      <c r="DX147" s="661"/>
      <c r="DY147" s="630"/>
      <c r="DZ147" s="630"/>
      <c r="EA147" s="662"/>
      <c r="EB147" s="661"/>
      <c r="EC147" s="630"/>
      <c r="ED147" s="630"/>
      <c r="EE147" s="662"/>
      <c r="EF147" s="661"/>
      <c r="EG147" s="630"/>
      <c r="EH147" s="630"/>
      <c r="EI147" s="662"/>
      <c r="EJ147" s="661"/>
      <c r="EK147" s="630"/>
      <c r="EL147" s="630"/>
      <c r="EM147" s="662"/>
      <c r="EN147" s="661"/>
      <c r="EO147" s="630"/>
      <c r="EP147" s="630"/>
      <c r="EQ147" s="662"/>
      <c r="ER147" s="661"/>
      <c r="ES147" s="630"/>
      <c r="ET147" s="630"/>
      <c r="EU147" s="662"/>
      <c r="EW147" s="661"/>
      <c r="EX147" s="630"/>
      <c r="EY147" s="630"/>
      <c r="EZ147" s="662"/>
      <c r="FA147" s="661"/>
      <c r="FB147" s="630"/>
      <c r="FC147" s="630"/>
      <c r="FD147" s="662"/>
    </row>
    <row r="148" spans="1:160">
      <c r="A148" s="753" t="s">
        <v>23</v>
      </c>
      <c r="B148" s="774">
        <v>2060</v>
      </c>
      <c r="C148" s="775"/>
      <c r="D148" s="775"/>
      <c r="E148" s="775"/>
      <c r="F148" s="757"/>
      <c r="G148" s="775"/>
      <c r="H148" s="775"/>
      <c r="I148" s="775"/>
      <c r="J148" s="757"/>
      <c r="K148" s="762"/>
      <c r="L148" s="762"/>
      <c r="M148" s="762"/>
      <c r="N148" s="757"/>
      <c r="O148" s="775"/>
      <c r="P148" s="775"/>
      <c r="Q148" s="775"/>
      <c r="R148" s="757"/>
      <c r="S148" s="630"/>
      <c r="T148" s="630"/>
      <c r="U148" s="630"/>
      <c r="V148" s="662"/>
      <c r="W148" s="630"/>
      <c r="X148" s="630"/>
      <c r="Y148" s="630"/>
      <c r="Z148" s="662"/>
      <c r="AA148" s="680"/>
      <c r="AB148" s="680"/>
      <c r="AC148" s="680"/>
      <c r="AD148" s="680"/>
      <c r="AE148" s="630"/>
      <c r="AF148" s="630"/>
      <c r="AG148" s="630"/>
      <c r="AH148" s="662"/>
      <c r="AI148" s="630"/>
      <c r="AJ148" s="630"/>
      <c r="AK148" s="630"/>
      <c r="AL148" s="662"/>
      <c r="AM148" s="680"/>
      <c r="AN148" s="680"/>
      <c r="AO148" s="680"/>
      <c r="AP148" s="680"/>
      <c r="AQ148" s="630"/>
      <c r="AR148" s="630"/>
      <c r="AS148" s="630"/>
      <c r="AT148" s="662"/>
      <c r="AU148" s="775"/>
      <c r="AV148" s="775"/>
      <c r="AW148" s="775"/>
      <c r="AX148" s="757"/>
      <c r="AY148" s="775"/>
      <c r="AZ148" s="775"/>
      <c r="BA148" s="775"/>
      <c r="BB148" s="757"/>
      <c r="BC148" s="775"/>
      <c r="BD148" s="775"/>
      <c r="BE148" s="775"/>
      <c r="BF148" s="757"/>
      <c r="BG148" s="775"/>
      <c r="BH148" s="775"/>
      <c r="BI148" s="775"/>
      <c r="BJ148" s="757"/>
      <c r="BK148" s="775"/>
      <c r="BL148" s="775"/>
      <c r="BM148" s="775"/>
      <c r="BN148" s="757"/>
      <c r="BO148" s="775"/>
      <c r="BP148" s="775"/>
      <c r="BQ148" s="775"/>
      <c r="BR148" s="757"/>
      <c r="BS148" s="630"/>
      <c r="BT148" s="630"/>
      <c r="BU148" s="630"/>
      <c r="BV148" s="662"/>
      <c r="BW148" s="680"/>
      <c r="BX148" s="680"/>
      <c r="BY148" s="680"/>
      <c r="BZ148" s="680"/>
      <c r="CA148" s="630"/>
      <c r="CB148" s="630"/>
      <c r="CC148" s="630"/>
      <c r="CD148" s="662"/>
      <c r="CE148" s="630"/>
      <c r="CF148" s="630"/>
      <c r="CG148" s="630"/>
      <c r="CH148" s="662"/>
      <c r="CI148" s="680"/>
      <c r="CJ148" s="680"/>
      <c r="CK148" s="680"/>
      <c r="CL148" s="680"/>
      <c r="CM148" s="661">
        <f>+CM147</f>
        <v>120922.91221592162</v>
      </c>
      <c r="CN148" s="630">
        <f>+CN147</f>
        <v>483691.64886363636</v>
      </c>
      <c r="CO148" s="630">
        <f t="shared" si="138"/>
        <v>-362768.73664771474</v>
      </c>
      <c r="CP148" s="662">
        <f>+CM$29*CO148+CN148</f>
        <v>419007.61321637651</v>
      </c>
      <c r="CQ148" s="661">
        <f>+CQ147</f>
        <v>1513301.973238643</v>
      </c>
      <c r="CR148" s="630">
        <f>+CR147</f>
        <v>2017735.9643181816</v>
      </c>
      <c r="CS148" s="630">
        <f t="shared" si="139"/>
        <v>-504433.99107953859</v>
      </c>
      <c r="CT148" s="662">
        <f>+CQ$29*CS148+CR148</f>
        <v>1927792.0883320756</v>
      </c>
      <c r="CU148" s="661">
        <f>+CU147</f>
        <v>676195.37250001635</v>
      </c>
      <c r="CV148" s="630">
        <f>+CV147</f>
        <v>676195.37250000006</v>
      </c>
      <c r="CW148" s="630">
        <f t="shared" si="140"/>
        <v>1.6298145055770874E-8</v>
      </c>
      <c r="CX148" s="662">
        <f>+CU$29*CW148+CV148</f>
        <v>676195.37250000297</v>
      </c>
      <c r="CY148" s="777"/>
      <c r="CZ148" s="779"/>
      <c r="DA148" s="752"/>
      <c r="DD148" s="661"/>
      <c r="DE148" s="630"/>
      <c r="DF148" s="630"/>
      <c r="DG148" s="662"/>
      <c r="DH148" s="661"/>
      <c r="DI148" s="630"/>
      <c r="DJ148" s="630"/>
      <c r="DK148" s="662"/>
      <c r="DL148" s="661"/>
      <c r="DM148" s="630"/>
      <c r="DN148" s="630"/>
      <c r="DO148" s="662"/>
      <c r="DP148" s="661"/>
      <c r="DQ148" s="630"/>
      <c r="DR148" s="630"/>
      <c r="DS148" s="662"/>
      <c r="DT148" s="661"/>
      <c r="DU148" s="630"/>
      <c r="DV148" s="630"/>
      <c r="DW148" s="662"/>
      <c r="DX148" s="661"/>
      <c r="DY148" s="630"/>
      <c r="DZ148" s="630"/>
      <c r="EA148" s="662"/>
      <c r="EB148" s="661"/>
      <c r="EC148" s="630"/>
      <c r="ED148" s="630"/>
      <c r="EE148" s="662"/>
      <c r="EF148" s="661"/>
      <c r="EG148" s="630"/>
      <c r="EH148" s="630"/>
      <c r="EI148" s="662"/>
      <c r="EJ148" s="661"/>
      <c r="EK148" s="630"/>
      <c r="EL148" s="630"/>
      <c r="EM148" s="662"/>
      <c r="EN148" s="661"/>
      <c r="EO148" s="630"/>
      <c r="EP148" s="630"/>
      <c r="EQ148" s="662"/>
      <c r="ER148" s="661"/>
      <c r="ES148" s="630"/>
      <c r="ET148" s="630"/>
      <c r="EU148" s="662"/>
      <c r="EW148" s="661"/>
      <c r="EX148" s="630"/>
      <c r="EY148" s="630"/>
      <c r="EZ148" s="662"/>
      <c r="FA148" s="661"/>
      <c r="FB148" s="630"/>
      <c r="FC148" s="630"/>
      <c r="FD148" s="662"/>
    </row>
    <row r="149" spans="1:160">
      <c r="A149" s="753" t="s">
        <v>24</v>
      </c>
      <c r="B149" s="774">
        <v>2061</v>
      </c>
      <c r="C149" s="775"/>
      <c r="D149" s="775"/>
      <c r="E149" s="775"/>
      <c r="F149" s="757"/>
      <c r="G149" s="775"/>
      <c r="H149" s="775"/>
      <c r="I149" s="775"/>
      <c r="J149" s="757"/>
      <c r="K149" s="762"/>
      <c r="L149" s="762"/>
      <c r="M149" s="762"/>
      <c r="N149" s="757"/>
      <c r="O149" s="775"/>
      <c r="P149" s="775"/>
      <c r="Q149" s="775"/>
      <c r="R149" s="757"/>
      <c r="S149" s="630"/>
      <c r="T149" s="630"/>
      <c r="U149" s="630"/>
      <c r="V149" s="662"/>
      <c r="W149" s="630"/>
      <c r="X149" s="630"/>
      <c r="Y149" s="630"/>
      <c r="Z149" s="662"/>
      <c r="AA149" s="680"/>
      <c r="AB149" s="680"/>
      <c r="AC149" s="680"/>
      <c r="AD149" s="680"/>
      <c r="AE149" s="630"/>
      <c r="AF149" s="630"/>
      <c r="AG149" s="630"/>
      <c r="AH149" s="662"/>
      <c r="AI149" s="630"/>
      <c r="AJ149" s="630"/>
      <c r="AK149" s="630"/>
      <c r="AL149" s="662"/>
      <c r="AM149" s="680"/>
      <c r="AN149" s="680"/>
      <c r="AO149" s="680"/>
      <c r="AP149" s="680"/>
      <c r="AQ149" s="630"/>
      <c r="AR149" s="630"/>
      <c r="AS149" s="630"/>
      <c r="AT149" s="662"/>
      <c r="AU149" s="775"/>
      <c r="AV149" s="775"/>
      <c r="AW149" s="775"/>
      <c r="AX149" s="757"/>
      <c r="AY149" s="775"/>
      <c r="AZ149" s="775"/>
      <c r="BA149" s="775"/>
      <c r="BB149" s="757"/>
      <c r="BC149" s="775"/>
      <c r="BD149" s="775"/>
      <c r="BE149" s="775"/>
      <c r="BF149" s="757"/>
      <c r="BG149" s="775"/>
      <c r="BH149" s="775"/>
      <c r="BI149" s="775"/>
      <c r="BJ149" s="757"/>
      <c r="BK149" s="775"/>
      <c r="BL149" s="775"/>
      <c r="BM149" s="775"/>
      <c r="BN149" s="757"/>
      <c r="BO149" s="775"/>
      <c r="BP149" s="775"/>
      <c r="BQ149" s="775"/>
      <c r="BR149" s="757"/>
      <c r="BS149" s="630"/>
      <c r="BT149" s="630"/>
      <c r="BU149" s="630"/>
      <c r="BV149" s="662"/>
      <c r="BW149" s="680"/>
      <c r="BX149" s="680"/>
      <c r="BY149" s="680"/>
      <c r="BZ149" s="680"/>
      <c r="CA149" s="630"/>
      <c r="CB149" s="630"/>
      <c r="CC149" s="630"/>
      <c r="CD149" s="662"/>
      <c r="CE149" s="630"/>
      <c r="CF149" s="630"/>
      <c r="CG149" s="630"/>
      <c r="CH149" s="662"/>
      <c r="CI149" s="680"/>
      <c r="CJ149" s="680"/>
      <c r="CK149" s="680"/>
      <c r="CL149" s="680"/>
      <c r="CM149" s="680"/>
      <c r="CN149" s="680"/>
      <c r="CO149" s="680"/>
      <c r="CP149" s="680"/>
      <c r="CQ149" s="680"/>
      <c r="CR149" s="680"/>
      <c r="CS149" s="680"/>
      <c r="CT149" s="680"/>
      <c r="CU149" s="680"/>
      <c r="CV149" s="680"/>
      <c r="CW149" s="680"/>
      <c r="CX149" s="680"/>
      <c r="CY149" s="777"/>
      <c r="CZ149" s="779"/>
      <c r="DA149" s="752"/>
      <c r="DD149" s="661"/>
      <c r="DE149" s="630"/>
      <c r="DF149" s="630"/>
      <c r="DG149" s="662"/>
      <c r="DH149" s="661"/>
      <c r="DI149" s="630"/>
      <c r="DJ149" s="630"/>
      <c r="DK149" s="662"/>
      <c r="DL149" s="661"/>
      <c r="DM149" s="630"/>
      <c r="DN149" s="630"/>
      <c r="DO149" s="662"/>
      <c r="DP149" s="661"/>
      <c r="DQ149" s="630"/>
      <c r="DR149" s="630"/>
      <c r="DS149" s="662"/>
      <c r="DT149" s="661"/>
      <c r="DU149" s="630"/>
      <c r="DV149" s="630"/>
      <c r="DW149" s="662"/>
      <c r="DX149" s="661"/>
      <c r="DY149" s="630"/>
      <c r="DZ149" s="630"/>
      <c r="EA149" s="662"/>
      <c r="EB149" s="661"/>
      <c r="EC149" s="630"/>
      <c r="ED149" s="630"/>
      <c r="EE149" s="662"/>
      <c r="EF149" s="661"/>
      <c r="EG149" s="630"/>
      <c r="EH149" s="630"/>
      <c r="EI149" s="662"/>
      <c r="EJ149" s="661"/>
      <c r="EK149" s="630"/>
      <c r="EL149" s="630"/>
      <c r="EM149" s="662"/>
      <c r="EN149" s="661"/>
      <c r="EO149" s="630"/>
      <c r="EP149" s="630"/>
      <c r="EQ149" s="662"/>
      <c r="ER149" s="661"/>
      <c r="ES149" s="630"/>
      <c r="ET149" s="630"/>
      <c r="EU149" s="662"/>
      <c r="EW149" s="661"/>
      <c r="EX149" s="630"/>
      <c r="EY149" s="630"/>
      <c r="EZ149" s="662"/>
      <c r="FA149" s="661"/>
      <c r="FB149" s="630"/>
      <c r="FC149" s="630"/>
      <c r="FD149" s="662"/>
    </row>
    <row r="150" spans="1:160">
      <c r="A150" s="753" t="s">
        <v>23</v>
      </c>
      <c r="B150" s="774">
        <v>2061</v>
      </c>
      <c r="C150" s="783"/>
      <c r="D150" s="783" t="s">
        <v>495</v>
      </c>
      <c r="E150" s="783" t="s">
        <v>496</v>
      </c>
      <c r="F150" s="784" t="s">
        <v>495</v>
      </c>
      <c r="G150" s="783" t="s">
        <v>495</v>
      </c>
      <c r="H150" s="783" t="s">
        <v>495</v>
      </c>
      <c r="I150" s="783" t="s">
        <v>496</v>
      </c>
      <c r="J150" s="784" t="s">
        <v>495</v>
      </c>
      <c r="K150" s="783" t="s">
        <v>495</v>
      </c>
      <c r="L150" s="783" t="s">
        <v>495</v>
      </c>
      <c r="M150" s="783" t="s">
        <v>496</v>
      </c>
      <c r="N150" s="784" t="s">
        <v>495</v>
      </c>
      <c r="O150" s="783" t="s">
        <v>495</v>
      </c>
      <c r="P150" s="783" t="s">
        <v>495</v>
      </c>
      <c r="Q150" s="783" t="s">
        <v>496</v>
      </c>
      <c r="R150" s="784" t="s">
        <v>495</v>
      </c>
      <c r="S150" s="785" t="s">
        <v>495</v>
      </c>
      <c r="T150" s="785" t="s">
        <v>495</v>
      </c>
      <c r="U150" s="785" t="s">
        <v>496</v>
      </c>
      <c r="V150" s="786" t="s">
        <v>495</v>
      </c>
      <c r="W150" s="785" t="s">
        <v>495</v>
      </c>
      <c r="X150" s="785" t="s">
        <v>495</v>
      </c>
      <c r="Y150" s="785" t="s">
        <v>496</v>
      </c>
      <c r="Z150" s="786" t="s">
        <v>495</v>
      </c>
      <c r="AA150" s="787"/>
      <c r="AB150" s="787"/>
      <c r="AC150" s="787"/>
      <c r="AD150" s="787"/>
      <c r="AE150" s="785" t="s">
        <v>495</v>
      </c>
      <c r="AF150" s="785" t="s">
        <v>495</v>
      </c>
      <c r="AG150" s="785" t="s">
        <v>496</v>
      </c>
      <c r="AH150" s="786" t="s">
        <v>495</v>
      </c>
      <c r="AI150" s="785" t="s">
        <v>495</v>
      </c>
      <c r="AJ150" s="785" t="s">
        <v>495</v>
      </c>
      <c r="AK150" s="785" t="s">
        <v>496</v>
      </c>
      <c r="AL150" s="786" t="s">
        <v>495</v>
      </c>
      <c r="AM150" s="787"/>
      <c r="AN150" s="787"/>
      <c r="AO150" s="787"/>
      <c r="AP150" s="787"/>
      <c r="AQ150" s="785" t="s">
        <v>495</v>
      </c>
      <c r="AR150" s="785" t="s">
        <v>495</v>
      </c>
      <c r="AS150" s="785" t="s">
        <v>496</v>
      </c>
      <c r="AT150" s="786" t="s">
        <v>495</v>
      </c>
      <c r="AU150" s="783" t="s">
        <v>495</v>
      </c>
      <c r="AV150" s="783" t="s">
        <v>495</v>
      </c>
      <c r="AW150" s="783" t="s">
        <v>496</v>
      </c>
      <c r="AX150" s="784" t="s">
        <v>495</v>
      </c>
      <c r="AY150" s="783" t="s">
        <v>495</v>
      </c>
      <c r="AZ150" s="783" t="s">
        <v>495</v>
      </c>
      <c r="BA150" s="783" t="s">
        <v>496</v>
      </c>
      <c r="BB150" s="784" t="s">
        <v>495</v>
      </c>
      <c r="BC150" s="783" t="s">
        <v>495</v>
      </c>
      <c r="BD150" s="783" t="s">
        <v>495</v>
      </c>
      <c r="BE150" s="783" t="s">
        <v>496</v>
      </c>
      <c r="BF150" s="784" t="s">
        <v>495</v>
      </c>
      <c r="BG150" s="783" t="s">
        <v>495</v>
      </c>
      <c r="BH150" s="783" t="s">
        <v>495</v>
      </c>
      <c r="BI150" s="783" t="s">
        <v>496</v>
      </c>
      <c r="BJ150" s="784" t="s">
        <v>495</v>
      </c>
      <c r="BK150" s="783" t="s">
        <v>495</v>
      </c>
      <c r="BL150" s="783" t="s">
        <v>495</v>
      </c>
      <c r="BM150" s="783" t="s">
        <v>496</v>
      </c>
      <c r="BN150" s="784" t="s">
        <v>495</v>
      </c>
      <c r="BO150" s="783" t="s">
        <v>495</v>
      </c>
      <c r="BP150" s="783" t="s">
        <v>495</v>
      </c>
      <c r="BQ150" s="783" t="s">
        <v>496</v>
      </c>
      <c r="BR150" s="784" t="s">
        <v>495</v>
      </c>
      <c r="BS150" s="785" t="s">
        <v>495</v>
      </c>
      <c r="BT150" s="785" t="s">
        <v>495</v>
      </c>
      <c r="BU150" s="785" t="s">
        <v>496</v>
      </c>
      <c r="BV150" s="786" t="s">
        <v>495</v>
      </c>
      <c r="BW150" s="787"/>
      <c r="BX150" s="787"/>
      <c r="BY150" s="787"/>
      <c r="BZ150" s="787"/>
      <c r="CA150" s="785" t="s">
        <v>495</v>
      </c>
      <c r="CB150" s="785" t="s">
        <v>495</v>
      </c>
      <c r="CC150" s="785" t="s">
        <v>496</v>
      </c>
      <c r="CD150" s="786" t="s">
        <v>495</v>
      </c>
      <c r="CE150" s="785" t="s">
        <v>495</v>
      </c>
      <c r="CF150" s="785" t="s">
        <v>495</v>
      </c>
      <c r="CG150" s="785" t="s">
        <v>496</v>
      </c>
      <c r="CH150" s="786" t="s">
        <v>495</v>
      </c>
      <c r="CI150" s="787"/>
      <c r="CJ150" s="787"/>
      <c r="CK150" s="787"/>
      <c r="CL150" s="787"/>
      <c r="CM150" s="787"/>
      <c r="CN150" s="787"/>
      <c r="CO150" s="787"/>
      <c r="CP150" s="787"/>
      <c r="CQ150" s="787"/>
      <c r="CR150" s="787"/>
      <c r="CS150" s="787"/>
      <c r="CT150" s="787"/>
      <c r="CU150" s="787"/>
      <c r="CV150" s="787"/>
      <c r="CW150" s="787"/>
      <c r="CX150" s="787"/>
      <c r="CY150" s="777"/>
      <c r="CZ150" s="756"/>
      <c r="DA150" s="778"/>
      <c r="DD150" s="661"/>
      <c r="DE150" s="630"/>
      <c r="DF150" s="630"/>
      <c r="DG150" s="662"/>
      <c r="DH150" s="661"/>
      <c r="DI150" s="630"/>
      <c r="DJ150" s="630"/>
      <c r="DK150" s="662"/>
      <c r="DL150" s="661"/>
      <c r="DM150" s="630"/>
      <c r="DN150" s="630"/>
      <c r="DO150" s="662"/>
      <c r="DP150" s="661"/>
      <c r="DQ150" s="630"/>
      <c r="DR150" s="630"/>
      <c r="DS150" s="662"/>
      <c r="DT150" s="661"/>
      <c r="DU150" s="630"/>
      <c r="DV150" s="630"/>
      <c r="DW150" s="662"/>
      <c r="DX150" s="661"/>
      <c r="DY150" s="630"/>
      <c r="DZ150" s="630"/>
      <c r="EA150" s="662"/>
      <c r="EB150" s="661"/>
      <c r="EC150" s="630"/>
      <c r="ED150" s="630"/>
      <c r="EE150" s="662"/>
      <c r="EF150" s="661"/>
      <c r="EG150" s="630"/>
      <c r="EH150" s="630"/>
      <c r="EI150" s="662"/>
      <c r="EJ150" s="661"/>
      <c r="EK150" s="630"/>
      <c r="EL150" s="630"/>
      <c r="EM150" s="662"/>
      <c r="EN150" s="661"/>
      <c r="EO150" s="630"/>
      <c r="EP150" s="630"/>
      <c r="EQ150" s="662"/>
      <c r="ER150" s="661"/>
      <c r="ES150" s="630"/>
      <c r="ET150" s="630"/>
      <c r="EU150" s="662"/>
      <c r="EW150" s="661"/>
      <c r="EX150" s="630"/>
      <c r="EY150" s="630"/>
      <c r="EZ150" s="662"/>
      <c r="FA150" s="661"/>
      <c r="FB150" s="630"/>
      <c r="FC150" s="630"/>
      <c r="FD150" s="662"/>
    </row>
    <row r="151" spans="1:160" ht="13.5" thickBot="1">
      <c r="A151" s="788" t="s">
        <v>495</v>
      </c>
      <c r="B151" s="789" t="s">
        <v>495</v>
      </c>
      <c r="C151" s="790" t="s">
        <v>495</v>
      </c>
      <c r="D151" s="790" t="s">
        <v>496</v>
      </c>
      <c r="E151" s="790" t="s">
        <v>496</v>
      </c>
      <c r="F151" s="791" t="s">
        <v>495</v>
      </c>
      <c r="G151" s="790" t="s">
        <v>495</v>
      </c>
      <c r="H151" s="790" t="s">
        <v>496</v>
      </c>
      <c r="I151" s="790" t="s">
        <v>496</v>
      </c>
      <c r="J151" s="791" t="s">
        <v>495</v>
      </c>
      <c r="K151" s="790" t="s">
        <v>495</v>
      </c>
      <c r="L151" s="790" t="s">
        <v>496</v>
      </c>
      <c r="M151" s="790" t="s">
        <v>496</v>
      </c>
      <c r="N151" s="791" t="s">
        <v>495</v>
      </c>
      <c r="O151" s="790" t="s">
        <v>495</v>
      </c>
      <c r="P151" s="790" t="s">
        <v>496</v>
      </c>
      <c r="Q151" s="790" t="s">
        <v>496</v>
      </c>
      <c r="R151" s="791" t="s">
        <v>495</v>
      </c>
      <c r="S151" s="792" t="s">
        <v>495</v>
      </c>
      <c r="T151" s="792" t="s">
        <v>496</v>
      </c>
      <c r="U151" s="792" t="s">
        <v>496</v>
      </c>
      <c r="V151" s="793" t="s">
        <v>495</v>
      </c>
      <c r="W151" s="792" t="s">
        <v>495</v>
      </c>
      <c r="X151" s="792" t="s">
        <v>496</v>
      </c>
      <c r="Y151" s="792" t="s">
        <v>496</v>
      </c>
      <c r="Z151" s="793" t="s">
        <v>495</v>
      </c>
      <c r="AA151" s="794"/>
      <c r="AB151" s="794"/>
      <c r="AC151" s="794"/>
      <c r="AD151" s="794"/>
      <c r="AE151" s="792" t="s">
        <v>495</v>
      </c>
      <c r="AF151" s="792" t="s">
        <v>496</v>
      </c>
      <c r="AG151" s="792" t="s">
        <v>496</v>
      </c>
      <c r="AH151" s="793" t="s">
        <v>495</v>
      </c>
      <c r="AI151" s="792" t="s">
        <v>495</v>
      </c>
      <c r="AJ151" s="792" t="s">
        <v>496</v>
      </c>
      <c r="AK151" s="792" t="s">
        <v>496</v>
      </c>
      <c r="AL151" s="793" t="s">
        <v>495</v>
      </c>
      <c r="AM151" s="794"/>
      <c r="AN151" s="794"/>
      <c r="AO151" s="794"/>
      <c r="AP151" s="794"/>
      <c r="AQ151" s="792" t="s">
        <v>495</v>
      </c>
      <c r="AR151" s="792" t="s">
        <v>496</v>
      </c>
      <c r="AS151" s="792" t="s">
        <v>496</v>
      </c>
      <c r="AT151" s="793" t="s">
        <v>495</v>
      </c>
      <c r="AU151" s="790" t="s">
        <v>495</v>
      </c>
      <c r="AV151" s="790" t="s">
        <v>496</v>
      </c>
      <c r="AW151" s="790" t="s">
        <v>496</v>
      </c>
      <c r="AX151" s="791" t="s">
        <v>495</v>
      </c>
      <c r="AY151" s="790" t="s">
        <v>495</v>
      </c>
      <c r="AZ151" s="790" t="s">
        <v>496</v>
      </c>
      <c r="BA151" s="790" t="s">
        <v>496</v>
      </c>
      <c r="BB151" s="791" t="s">
        <v>495</v>
      </c>
      <c r="BC151" s="790" t="s">
        <v>495</v>
      </c>
      <c r="BD151" s="790" t="s">
        <v>496</v>
      </c>
      <c r="BE151" s="790" t="s">
        <v>496</v>
      </c>
      <c r="BF151" s="791" t="s">
        <v>495</v>
      </c>
      <c r="BG151" s="790" t="s">
        <v>495</v>
      </c>
      <c r="BH151" s="790" t="s">
        <v>496</v>
      </c>
      <c r="BI151" s="790" t="s">
        <v>496</v>
      </c>
      <c r="BJ151" s="791" t="s">
        <v>495</v>
      </c>
      <c r="BK151" s="790" t="s">
        <v>495</v>
      </c>
      <c r="BL151" s="790" t="s">
        <v>496</v>
      </c>
      <c r="BM151" s="790" t="s">
        <v>496</v>
      </c>
      <c r="BN151" s="791" t="s">
        <v>495</v>
      </c>
      <c r="BO151" s="790" t="s">
        <v>495</v>
      </c>
      <c r="BP151" s="790" t="s">
        <v>496</v>
      </c>
      <c r="BQ151" s="790" t="s">
        <v>496</v>
      </c>
      <c r="BR151" s="791" t="s">
        <v>495</v>
      </c>
      <c r="BS151" s="791"/>
      <c r="BT151" s="791"/>
      <c r="BU151" s="791"/>
      <c r="BV151" s="791"/>
      <c r="BW151" s="791"/>
      <c r="BX151" s="791"/>
      <c r="BY151" s="791"/>
      <c r="BZ151" s="791"/>
      <c r="CA151" s="791"/>
      <c r="CB151" s="791"/>
      <c r="CC151" s="791"/>
      <c r="CD151" s="791"/>
      <c r="CE151" s="791"/>
      <c r="CF151" s="791"/>
      <c r="CG151" s="791"/>
      <c r="CH151" s="791"/>
      <c r="CI151" s="791"/>
      <c r="CJ151" s="791"/>
      <c r="CK151" s="791"/>
      <c r="CL151" s="791"/>
      <c r="CM151" s="791"/>
      <c r="CN151" s="791"/>
      <c r="CO151" s="791"/>
      <c r="CP151" s="791"/>
      <c r="CQ151" s="791"/>
      <c r="CR151" s="791"/>
      <c r="CS151" s="791"/>
      <c r="CT151" s="791"/>
      <c r="CU151" s="791"/>
      <c r="CV151" s="791"/>
      <c r="CW151" s="791"/>
      <c r="CX151" s="791"/>
      <c r="CY151" s="795"/>
      <c r="CZ151" s="796"/>
      <c r="DA151" s="770"/>
      <c r="DD151" s="688"/>
      <c r="DE151" s="689"/>
      <c r="DF151" s="689"/>
      <c r="DG151" s="683"/>
      <c r="DH151" s="688"/>
      <c r="DI151" s="689"/>
      <c r="DJ151" s="689"/>
      <c r="DK151" s="683"/>
      <c r="DL151" s="688"/>
      <c r="DM151" s="689"/>
      <c r="DN151" s="689"/>
      <c r="DO151" s="683"/>
      <c r="DP151" s="688"/>
      <c r="DQ151" s="689"/>
      <c r="DR151" s="689"/>
      <c r="DS151" s="683"/>
      <c r="DT151" s="688"/>
      <c r="DU151" s="689"/>
      <c r="DV151" s="689"/>
      <c r="DW151" s="683"/>
      <c r="DX151" s="688"/>
      <c r="DY151" s="689"/>
      <c r="DZ151" s="689"/>
      <c r="EA151" s="683"/>
      <c r="EB151" s="688"/>
      <c r="EC151" s="689"/>
      <c r="ED151" s="689"/>
      <c r="EE151" s="683"/>
      <c r="EF151" s="688"/>
      <c r="EG151" s="689"/>
      <c r="EH151" s="689"/>
      <c r="EI151" s="683"/>
      <c r="EJ151" s="688"/>
      <c r="EK151" s="689"/>
      <c r="EL151" s="689"/>
      <c r="EM151" s="683"/>
      <c r="EN151" s="688"/>
      <c r="EO151" s="689"/>
      <c r="EP151" s="689"/>
      <c r="EQ151" s="683"/>
      <c r="ER151" s="688"/>
      <c r="ES151" s="689"/>
      <c r="ET151" s="689"/>
      <c r="EU151" s="683"/>
      <c r="EW151" s="688"/>
      <c r="EX151" s="689"/>
      <c r="EY151" s="689"/>
      <c r="EZ151" s="683"/>
      <c r="FA151" s="688"/>
      <c r="FB151" s="689"/>
      <c r="FC151" s="689"/>
      <c r="FD151" s="683"/>
    </row>
    <row r="152" spans="1:160">
      <c r="A152" s="183" t="s">
        <v>318</v>
      </c>
      <c r="B152" s="454"/>
      <c r="C152" s="183"/>
      <c r="D152" s="183"/>
      <c r="E152" s="183"/>
      <c r="F152" s="455"/>
      <c r="G152" s="183"/>
      <c r="H152" s="183"/>
      <c r="I152" s="183"/>
      <c r="J152" s="455"/>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456"/>
      <c r="AG152" s="456"/>
      <c r="AI152" s="628"/>
      <c r="AJ152" s="628"/>
      <c r="AK152" s="628"/>
      <c r="AL152" s="629"/>
      <c r="AN152" s="628"/>
      <c r="AO152" s="628"/>
      <c r="AP152" s="628"/>
      <c r="AQ152" s="629"/>
    </row>
    <row r="153" spans="1:160">
      <c r="A153" s="626" t="s">
        <v>1</v>
      </c>
      <c r="AI153" s="628"/>
      <c r="AJ153" s="628"/>
      <c r="AK153" s="628"/>
      <c r="AL153" s="629"/>
      <c r="AN153" s="628"/>
      <c r="AO153" s="628"/>
      <c r="AP153" s="628"/>
      <c r="AQ153" s="629"/>
    </row>
    <row r="154" spans="1:160">
      <c r="A154" s="626"/>
      <c r="AI154" s="628"/>
      <c r="AJ154" s="628"/>
      <c r="AK154" s="628"/>
      <c r="AL154" s="629"/>
      <c r="AN154" s="628"/>
      <c r="AO154" s="628"/>
      <c r="AP154" s="628"/>
      <c r="AQ154" s="629"/>
    </row>
    <row r="155" spans="1:160">
      <c r="A155" s="626" t="s">
        <v>2</v>
      </c>
      <c r="B155" s="659"/>
      <c r="C155" s="645"/>
      <c r="D155" s="645"/>
      <c r="E155" s="645"/>
      <c r="F155" s="660"/>
      <c r="G155" s="645"/>
      <c r="H155" s="645"/>
      <c r="I155" s="645"/>
      <c r="AF155" s="995"/>
      <c r="AI155" s="628"/>
      <c r="AJ155" s="628"/>
      <c r="AK155" s="628"/>
      <c r="AL155" s="629"/>
      <c r="AN155" s="628"/>
      <c r="AO155" s="628"/>
      <c r="AP155" s="628"/>
      <c r="AQ155" s="629"/>
    </row>
    <row r="156" spans="1:160" s="645" customFormat="1">
      <c r="A156" s="631" t="s">
        <v>784</v>
      </c>
      <c r="B156" s="659"/>
      <c r="F156" s="660"/>
      <c r="J156" s="660"/>
      <c r="AI156" s="628"/>
      <c r="AJ156" s="628"/>
      <c r="AK156" s="628"/>
      <c r="AL156" s="629"/>
      <c r="AN156" s="628"/>
      <c r="AO156" s="628"/>
      <c r="AP156" s="628"/>
      <c r="AQ156" s="629"/>
    </row>
    <row r="157" spans="1:160" s="645" customFormat="1">
      <c r="A157" s="631" t="s">
        <v>783</v>
      </c>
      <c r="B157" s="659"/>
      <c r="F157" s="660"/>
      <c r="J157" s="660"/>
      <c r="AI157" s="628"/>
      <c r="AJ157" s="628"/>
      <c r="AK157" s="628"/>
      <c r="AL157" s="629"/>
      <c r="AN157" s="628"/>
      <c r="AO157" s="628"/>
      <c r="AP157" s="628"/>
      <c r="AQ157" s="629"/>
    </row>
    <row r="158" spans="1:160" s="645" customFormat="1">
      <c r="A158" s="631" t="s">
        <v>785</v>
      </c>
      <c r="B158" s="659"/>
      <c r="F158" s="660"/>
      <c r="J158" s="660"/>
      <c r="AI158" s="628"/>
      <c r="AJ158" s="628"/>
      <c r="AK158" s="628"/>
      <c r="AL158" s="629"/>
      <c r="AN158" s="628"/>
      <c r="AO158" s="628"/>
      <c r="AP158" s="628"/>
      <c r="AQ158" s="629"/>
    </row>
    <row r="159" spans="1:160" s="645" customFormat="1">
      <c r="A159" s="631" t="s">
        <v>786</v>
      </c>
      <c r="B159" s="659"/>
      <c r="F159" s="660"/>
      <c r="J159" s="660"/>
      <c r="AI159" s="628"/>
      <c r="AJ159" s="628"/>
      <c r="AK159" s="628"/>
      <c r="AL159" s="629"/>
      <c r="AN159" s="628"/>
      <c r="AO159" s="628"/>
      <c r="AP159" s="628"/>
      <c r="AQ159" s="629"/>
    </row>
    <row r="160" spans="1:160">
      <c r="AJ160" s="630"/>
      <c r="AK160" s="630"/>
      <c r="AO160" s="630"/>
      <c r="AP160" s="630"/>
    </row>
    <row r="161" spans="1:10">
      <c r="A161" s="690" t="s">
        <v>698</v>
      </c>
      <c r="B161" s="659"/>
      <c r="C161" s="645"/>
      <c r="D161" s="645"/>
      <c r="E161" s="645"/>
      <c r="F161" s="660"/>
      <c r="G161" s="645"/>
      <c r="H161" s="645"/>
      <c r="I161" s="645"/>
      <c r="J161" s="660"/>
    </row>
    <row r="162" spans="1:10">
      <c r="A162" s="631" t="s">
        <v>699</v>
      </c>
      <c r="B162" s="659"/>
      <c r="C162" s="645"/>
      <c r="D162" s="645"/>
      <c r="E162" s="645"/>
      <c r="F162" s="660"/>
      <c r="G162" s="645"/>
      <c r="H162" s="645"/>
      <c r="I162" s="645"/>
      <c r="J162" s="660"/>
    </row>
    <row r="163" spans="1:10">
      <c r="A163" s="631" t="s">
        <v>700</v>
      </c>
      <c r="B163" s="659"/>
      <c r="C163" s="645"/>
      <c r="D163" s="645"/>
      <c r="E163" s="645"/>
      <c r="F163" s="660"/>
      <c r="G163" s="645"/>
      <c r="H163" s="645"/>
      <c r="I163" s="645"/>
      <c r="J163" s="660"/>
    </row>
    <row r="164" spans="1:10">
      <c r="A164" s="631" t="s">
        <v>703</v>
      </c>
      <c r="B164" s="659"/>
      <c r="C164" s="645"/>
      <c r="D164" s="645"/>
      <c r="E164" s="645"/>
      <c r="F164" s="660"/>
      <c r="G164" s="645"/>
      <c r="H164" s="645"/>
      <c r="I164" s="645"/>
      <c r="J164" s="660"/>
    </row>
    <row r="165" spans="1:10">
      <c r="A165" s="631" t="s">
        <v>704</v>
      </c>
      <c r="B165" s="659"/>
      <c r="C165" s="645"/>
      <c r="D165" s="645"/>
      <c r="E165" s="645"/>
      <c r="F165" s="660"/>
      <c r="G165" s="645"/>
      <c r="H165" s="645"/>
      <c r="I165" s="645"/>
      <c r="J165" s="660"/>
    </row>
    <row r="166" spans="1:10">
      <c r="A166" s="631" t="s">
        <v>701</v>
      </c>
      <c r="B166" s="659"/>
      <c r="C166" s="645"/>
      <c r="D166" s="645"/>
      <c r="E166" s="645"/>
      <c r="F166" s="660"/>
      <c r="G166" s="645"/>
      <c r="H166" s="645"/>
      <c r="I166" s="645"/>
      <c r="J166" s="660"/>
    </row>
    <row r="167" spans="1:10">
      <c r="A167" s="631" t="s">
        <v>702</v>
      </c>
      <c r="B167" s="659"/>
      <c r="C167" s="645"/>
      <c r="D167" s="645"/>
      <c r="E167" s="645"/>
      <c r="F167" s="660"/>
      <c r="G167" s="645"/>
      <c r="H167" s="645"/>
      <c r="I167" s="645"/>
      <c r="J167" s="660"/>
    </row>
    <row r="168" spans="1:10">
      <c r="A168" s="645"/>
      <c r="B168" s="659"/>
      <c r="C168" s="645"/>
      <c r="D168" s="645"/>
      <c r="E168" s="645"/>
      <c r="F168" s="660"/>
      <c r="G168" s="645"/>
      <c r="H168" s="645"/>
      <c r="I168" s="645"/>
      <c r="J168" s="660"/>
    </row>
    <row r="169" spans="1:10">
      <c r="A169" s="631" t="s">
        <v>796</v>
      </c>
      <c r="B169" s="659"/>
      <c r="C169" s="645"/>
      <c r="D169" s="645"/>
      <c r="E169" s="645"/>
      <c r="F169" s="660"/>
      <c r="G169" s="645"/>
      <c r="H169" s="645"/>
      <c r="I169" s="645"/>
      <c r="J169" s="660"/>
    </row>
    <row r="170" spans="1:10">
      <c r="A170" s="631" t="s">
        <v>797</v>
      </c>
      <c r="B170" s="659"/>
      <c r="C170" s="645"/>
      <c r="D170" s="645"/>
      <c r="E170" s="645"/>
      <c r="F170" s="660"/>
      <c r="G170" s="645"/>
      <c r="H170" s="645"/>
      <c r="I170" s="645"/>
      <c r="J170" s="660"/>
    </row>
    <row r="384" spans="1:6">
      <c r="A384" s="631"/>
      <c r="B384" s="831"/>
      <c r="C384" s="631"/>
      <c r="D384" s="631"/>
      <c r="E384" s="631"/>
      <c r="F384" s="680"/>
    </row>
    <row r="385" spans="1:6">
      <c r="A385" s="631"/>
      <c r="B385" s="831"/>
      <c r="C385" s="631"/>
      <c r="D385" s="631"/>
      <c r="E385" s="631"/>
      <c r="F385" s="680"/>
    </row>
    <row r="386" spans="1:6">
      <c r="A386" s="631"/>
      <c r="B386" s="831"/>
      <c r="C386" s="631"/>
      <c r="D386" s="631"/>
      <c r="E386" s="631"/>
      <c r="F386" s="680"/>
    </row>
    <row r="387" spans="1:6">
      <c r="A387" s="631"/>
      <c r="B387" s="831"/>
      <c r="C387" s="631"/>
      <c r="D387" s="631"/>
      <c r="E387" s="631"/>
      <c r="F387" s="680"/>
    </row>
    <row r="388" spans="1:6">
      <c r="A388" s="631"/>
      <c r="B388" s="831"/>
      <c r="C388" s="631"/>
      <c r="D388" s="631"/>
      <c r="E388" s="631"/>
      <c r="F388" s="680"/>
    </row>
    <row r="389" spans="1:6">
      <c r="A389" s="631"/>
      <c r="B389" s="831"/>
      <c r="C389" s="631"/>
      <c r="D389" s="631"/>
      <c r="E389" s="631"/>
      <c r="F389" s="680"/>
    </row>
    <row r="390" spans="1:6">
      <c r="A390" s="631"/>
      <c r="B390" s="831"/>
      <c r="C390" s="631"/>
      <c r="D390" s="631"/>
      <c r="E390" s="631"/>
      <c r="F390" s="680"/>
    </row>
    <row r="391" spans="1:6">
      <c r="A391" s="631"/>
      <c r="B391" s="831"/>
      <c r="C391" s="631"/>
      <c r="D391" s="631"/>
      <c r="E391" s="631"/>
      <c r="F391" s="680"/>
    </row>
    <row r="392" spans="1:6">
      <c r="A392" s="631"/>
      <c r="B392" s="831"/>
      <c r="C392" s="631"/>
      <c r="D392" s="631"/>
      <c r="E392" s="631"/>
      <c r="F392" s="680"/>
    </row>
  </sheetData>
  <mergeCells count="36">
    <mergeCell ref="FA23:FD23"/>
    <mergeCell ref="FA24:FD24"/>
    <mergeCell ref="EW24:EZ24"/>
    <mergeCell ref="DD23:DG23"/>
    <mergeCell ref="DL23:DO23"/>
    <mergeCell ref="DT23:DW23"/>
    <mergeCell ref="DX23:EA23"/>
    <mergeCell ref="EW23:EZ23"/>
    <mergeCell ref="DH23:DK23"/>
    <mergeCell ref="DP23:DS23"/>
    <mergeCell ref="EB23:EE23"/>
    <mergeCell ref="EF23:EI23"/>
    <mergeCell ref="EJ23:EM23"/>
    <mergeCell ref="EN23:EQ23"/>
    <mergeCell ref="ER23:EU23"/>
    <mergeCell ref="BS23:BV23"/>
    <mergeCell ref="BW23:BZ23"/>
    <mergeCell ref="CA23:CD23"/>
    <mergeCell ref="CE23:CH23"/>
    <mergeCell ref="CI23:CL23"/>
    <mergeCell ref="CM23:CP23"/>
    <mergeCell ref="CQ23:CT23"/>
    <mergeCell ref="CU23:CX23"/>
    <mergeCell ref="A1:AQ1"/>
    <mergeCell ref="A3:AQ3"/>
    <mergeCell ref="AI23:AL23"/>
    <mergeCell ref="C23:F23"/>
    <mergeCell ref="G23:J23"/>
    <mergeCell ref="K23:N23"/>
    <mergeCell ref="O23:R23"/>
    <mergeCell ref="S23:V23"/>
    <mergeCell ref="W23:Z23"/>
    <mergeCell ref="AA23:AD23"/>
    <mergeCell ref="AE23:AH23"/>
    <mergeCell ref="AM23:AP23"/>
    <mergeCell ref="AQ23:AT23"/>
  </mergeCells>
  <phoneticPr fontId="0" type="noConversion"/>
  <printOptions horizontalCentered="1"/>
  <pageMargins left="0.27" right="0" top="0.39" bottom="0.18" header="0.24" footer="0.22"/>
  <pageSetup paperSize="5" scale="50" fitToHeight="2" orientation="landscape" r:id="rId1"/>
  <headerFooter alignWithMargins="0">
    <oddHeader>&amp;R&amp;"Times New Roman,Bold"&amp;22Appendix 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opLeftCell="B7" workbookViewId="0">
      <selection activeCell="E20" sqref="E20"/>
    </sheetView>
  </sheetViews>
  <sheetFormatPr defaultColWidth="9.140625" defaultRowHeight="12.75"/>
  <cols>
    <col min="1" max="1" width="9.140625" style="627"/>
    <col min="2" max="2" width="1.42578125" style="627" customWidth="1"/>
    <col min="3" max="3" width="2.28515625" style="627" customWidth="1"/>
    <col min="4" max="4" width="43.42578125" style="627" customWidth="1"/>
    <col min="5" max="5" width="19.7109375" style="627" customWidth="1"/>
    <col min="6" max="6" width="19.42578125" style="627" customWidth="1"/>
    <col min="7" max="7" width="20.5703125" style="627" bestFit="1" customWidth="1"/>
    <col min="8" max="16384" width="9.140625" style="627"/>
  </cols>
  <sheetData>
    <row r="1" spans="1:8" ht="15">
      <c r="A1" s="1169" t="str">
        <f>+'ATT H-2A'!A4</f>
        <v>Baltimore Gas and Electric Company</v>
      </c>
      <c r="B1" s="1169"/>
      <c r="C1" s="1169"/>
      <c r="D1" s="1169"/>
      <c r="E1" s="1169"/>
      <c r="F1" s="1169"/>
    </row>
    <row r="2" spans="1:8">
      <c r="A2" s="187"/>
    </row>
    <row r="3" spans="1:8" ht="15.75">
      <c r="A3" s="1073" t="s">
        <v>53</v>
      </c>
      <c r="B3" s="1168"/>
      <c r="C3" s="1168"/>
      <c r="D3" s="1168"/>
      <c r="E3" s="1168"/>
      <c r="F3" s="1168"/>
    </row>
    <row r="4" spans="1:8">
      <c r="B4" s="115"/>
      <c r="C4" s="960"/>
      <c r="D4" s="960"/>
    </row>
    <row r="5" spans="1:8">
      <c r="A5" s="115"/>
    </row>
    <row r="6" spans="1:8">
      <c r="E6" s="188"/>
    </row>
    <row r="8" spans="1:8">
      <c r="B8" s="645"/>
      <c r="C8" s="645"/>
      <c r="D8" s="645"/>
      <c r="E8" s="645"/>
      <c r="F8" s="645"/>
      <c r="G8" s="645"/>
      <c r="H8" s="645"/>
    </row>
    <row r="9" spans="1:8">
      <c r="B9" s="189"/>
      <c r="C9" s="189"/>
      <c r="D9" s="189"/>
      <c r="E9" s="189"/>
      <c r="F9" s="189"/>
      <c r="G9" s="189"/>
      <c r="H9" s="645"/>
    </row>
    <row r="10" spans="1:8">
      <c r="B10" s="645"/>
      <c r="C10" s="645"/>
      <c r="D10" s="645"/>
      <c r="E10" s="645"/>
      <c r="F10" s="645"/>
      <c r="G10" s="645"/>
      <c r="H10" s="645"/>
    </row>
    <row r="12" spans="1:8">
      <c r="A12" s="627" t="s">
        <v>457</v>
      </c>
    </row>
    <row r="13" spans="1:8">
      <c r="C13" s="627" t="s">
        <v>165</v>
      </c>
    </row>
    <row r="14" spans="1:8">
      <c r="A14" s="187">
        <f>+'ATT H-2A'!A177</f>
        <v>100</v>
      </c>
      <c r="B14" s="187">
        <f>+'ATT H-2A'!B177</f>
        <v>0</v>
      </c>
      <c r="C14" s="187" t="str">
        <f>+'ATT H-2A'!C177</f>
        <v xml:space="preserve">    Less LTD Interest on Securitization Bonds</v>
      </c>
      <c r="D14" s="187"/>
      <c r="E14" s="938">
        <f>4708860+(839628)</f>
        <v>5548488</v>
      </c>
      <c r="F14" s="815"/>
    </row>
    <row r="15" spans="1:8">
      <c r="F15" s="645"/>
    </row>
    <row r="16" spans="1:8">
      <c r="F16" s="645"/>
    </row>
    <row r="17" spans="1:6">
      <c r="C17" s="627" t="s">
        <v>291</v>
      </c>
      <c r="F17" s="645"/>
    </row>
    <row r="18" spans="1:6">
      <c r="A18" s="187">
        <f>+'ATT H-2A'!A194</f>
        <v>111</v>
      </c>
      <c r="C18" s="187" t="str">
        <f>+'ATT H-2A'!C194</f>
        <v xml:space="preserve">      Less LTD on Securitization Bonds</v>
      </c>
      <c r="D18" s="187"/>
      <c r="E18" s="938">
        <v>18954010</v>
      </c>
      <c r="F18" s="815"/>
    </row>
    <row r="21" spans="1:6">
      <c r="C21" s="645" t="s">
        <v>683</v>
      </c>
      <c r="D21" s="645"/>
      <c r="E21" s="645"/>
    </row>
    <row r="22" spans="1:6">
      <c r="D22" s="996"/>
      <c r="E22" s="996"/>
      <c r="F22" s="996"/>
    </row>
    <row r="23" spans="1:6">
      <c r="D23" s="996"/>
      <c r="E23" s="996"/>
      <c r="F23" s="996"/>
    </row>
    <row r="24" spans="1:6">
      <c r="D24" s="996"/>
      <c r="E24" s="996"/>
      <c r="F24" s="996"/>
    </row>
    <row r="25" spans="1:6">
      <c r="D25" s="996"/>
      <c r="E25" s="996"/>
      <c r="F25" s="996"/>
    </row>
    <row r="26" spans="1:6">
      <c r="D26" s="996"/>
      <c r="E26" s="996"/>
      <c r="F26" s="996"/>
    </row>
    <row r="27" spans="1:6">
      <c r="D27" s="996"/>
      <c r="E27" s="996"/>
      <c r="F27" s="996"/>
    </row>
    <row r="28" spans="1:6">
      <c r="D28" s="996"/>
      <c r="E28" s="996"/>
      <c r="F28" s="996"/>
    </row>
    <row r="29" spans="1:6">
      <c r="D29" s="996"/>
      <c r="E29" s="996"/>
      <c r="F29" s="996"/>
    </row>
    <row r="30" spans="1:6">
      <c r="D30" s="996"/>
      <c r="E30" s="996"/>
      <c r="F30" s="996"/>
    </row>
    <row r="31" spans="1:6">
      <c r="D31" s="996"/>
      <c r="E31" s="996"/>
      <c r="F31" s="996"/>
    </row>
    <row r="32" spans="1:6">
      <c r="D32" s="996"/>
      <c r="E32" s="996"/>
      <c r="F32" s="996"/>
    </row>
    <row r="33" spans="4:6">
      <c r="D33" s="996"/>
      <c r="E33" s="996"/>
      <c r="F33" s="996"/>
    </row>
    <row r="34" spans="4:6">
      <c r="D34" s="996"/>
      <c r="E34" s="996"/>
      <c r="F34" s="996"/>
    </row>
    <row r="35" spans="4:6">
      <c r="D35" s="996"/>
      <c r="E35" s="996"/>
      <c r="F35" s="996"/>
    </row>
    <row r="36" spans="4:6">
      <c r="D36" s="996"/>
      <c r="E36" s="996"/>
      <c r="F36" s="996"/>
    </row>
    <row r="37" spans="4:6">
      <c r="D37" s="996"/>
      <c r="E37" s="996"/>
      <c r="F37" s="996"/>
    </row>
    <row r="38" spans="4:6">
      <c r="D38" s="996"/>
      <c r="E38" s="996"/>
      <c r="F38" s="996"/>
    </row>
    <row r="39" spans="4:6">
      <c r="D39" s="996"/>
      <c r="E39" s="996"/>
      <c r="F39" s="996"/>
    </row>
    <row r="40" spans="4:6">
      <c r="D40" s="996"/>
      <c r="E40" s="996"/>
      <c r="F40" s="996"/>
    </row>
    <row r="41" spans="4:6">
      <c r="D41" s="996"/>
      <c r="E41" s="996"/>
      <c r="F41" s="996"/>
    </row>
    <row r="42" spans="4:6">
      <c r="D42" s="996"/>
      <c r="E42" s="996"/>
      <c r="F42" s="996"/>
    </row>
    <row r="43" spans="4:6">
      <c r="D43" s="996"/>
      <c r="E43" s="996"/>
      <c r="F43" s="996"/>
    </row>
    <row r="44" spans="4:6">
      <c r="D44" s="996"/>
      <c r="E44" s="996"/>
      <c r="F44" s="996"/>
    </row>
    <row r="45" spans="4:6">
      <c r="D45" s="996"/>
      <c r="E45" s="996"/>
      <c r="F45" s="996"/>
    </row>
  </sheetData>
  <mergeCells count="2">
    <mergeCell ref="A3:F3"/>
    <mergeCell ref="A1:F1"/>
  </mergeCells>
  <phoneticPr fontId="0" type="noConversion"/>
  <pageMargins left="0.75" right="0.75" top="1.5" bottom="1" header="0.5" footer="0.5"/>
  <pageSetup scale="94" orientation="portrait" r:id="rId1"/>
  <headerFooter alignWithMargins="0">
    <oddHeader>&amp;R&amp;"Times New Roman,Bold"&amp;11Appendix 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B14" sqref="B14"/>
    </sheetView>
  </sheetViews>
  <sheetFormatPr defaultColWidth="9.140625" defaultRowHeight="12.75"/>
  <cols>
    <col min="1" max="1" width="9.140625" style="702"/>
    <col min="2" max="2" width="10.42578125" style="702" customWidth="1"/>
    <col min="3" max="3" width="51.140625" style="702" bestFit="1" customWidth="1"/>
    <col min="4" max="4" width="9.140625" style="702"/>
    <col min="5" max="5" width="9.140625" style="720"/>
    <col min="6" max="16384" width="9.140625" style="702"/>
  </cols>
  <sheetData>
    <row r="1" spans="1:10">
      <c r="A1" s="1170" t="s">
        <v>820</v>
      </c>
      <c r="B1" s="1170"/>
      <c r="C1" s="1170"/>
      <c r="D1" s="1170"/>
      <c r="E1" s="1170"/>
      <c r="F1" s="1002"/>
    </row>
    <row r="2" spans="1:10">
      <c r="A2" s="1170" t="s">
        <v>821</v>
      </c>
      <c r="B2" s="1170"/>
      <c r="C2" s="1170"/>
      <c r="D2" s="1170"/>
      <c r="E2" s="1170"/>
      <c r="F2" s="1003"/>
    </row>
    <row r="3" spans="1:10" ht="13.5">
      <c r="A3" s="703"/>
      <c r="B3" s="704" t="s">
        <v>822</v>
      </c>
      <c r="C3" s="705"/>
      <c r="D3" s="705"/>
      <c r="E3" s="706" t="s">
        <v>823</v>
      </c>
      <c r="F3" s="703"/>
      <c r="H3" s="707"/>
      <c r="J3" s="708"/>
    </row>
    <row r="4" spans="1:10" ht="13.5">
      <c r="A4" s="703"/>
      <c r="B4" s="705" t="s">
        <v>824</v>
      </c>
      <c r="C4" s="705" t="s">
        <v>825</v>
      </c>
      <c r="D4" s="705"/>
      <c r="E4" s="709" t="s">
        <v>826</v>
      </c>
      <c r="F4" s="703"/>
      <c r="H4" s="710"/>
      <c r="J4" s="708"/>
    </row>
    <row r="5" spans="1:10" ht="13.5">
      <c r="A5" s="703"/>
      <c r="B5" s="711">
        <v>350.2</v>
      </c>
      <c r="C5" s="712" t="s">
        <v>827</v>
      </c>
      <c r="D5" s="712"/>
      <c r="E5" s="713">
        <v>1.25</v>
      </c>
      <c r="F5" s="703"/>
      <c r="H5" s="707"/>
      <c r="J5" s="708"/>
    </row>
    <row r="6" spans="1:10" ht="13.5">
      <c r="A6" s="703"/>
      <c r="B6" s="711">
        <v>352</v>
      </c>
      <c r="C6" s="712" t="s">
        <v>828</v>
      </c>
      <c r="D6" s="712"/>
      <c r="E6" s="713">
        <v>1.65</v>
      </c>
      <c r="F6" s="703"/>
      <c r="H6" s="710"/>
      <c r="J6" s="708"/>
    </row>
    <row r="7" spans="1:10" ht="13.5">
      <c r="A7" s="703"/>
      <c r="B7" s="711">
        <v>353</v>
      </c>
      <c r="C7" s="712" t="s">
        <v>829</v>
      </c>
      <c r="D7" s="712"/>
      <c r="E7" s="713">
        <v>1.99</v>
      </c>
      <c r="F7" s="703"/>
      <c r="J7" s="714"/>
    </row>
    <row r="8" spans="1:10" ht="13.5">
      <c r="A8" s="703"/>
      <c r="B8" s="711">
        <v>354</v>
      </c>
      <c r="C8" s="712" t="s">
        <v>830</v>
      </c>
      <c r="D8" s="712"/>
      <c r="E8" s="713">
        <v>0.48</v>
      </c>
      <c r="F8" s="703"/>
      <c r="H8" s="715"/>
      <c r="I8" s="716"/>
      <c r="J8" s="717"/>
    </row>
    <row r="9" spans="1:10" ht="13.5">
      <c r="A9" s="703"/>
      <c r="B9" s="711">
        <v>355</v>
      </c>
      <c r="C9" s="712" t="s">
        <v>831</v>
      </c>
      <c r="D9" s="712"/>
      <c r="E9" s="713">
        <v>2.69</v>
      </c>
      <c r="F9" s="703"/>
    </row>
    <row r="10" spans="1:10" ht="13.5">
      <c r="A10" s="703"/>
      <c r="B10" s="711">
        <v>356</v>
      </c>
      <c r="C10" s="712" t="s">
        <v>832</v>
      </c>
      <c r="D10" s="712"/>
      <c r="E10" s="713">
        <v>2.83</v>
      </c>
      <c r="F10" s="703"/>
    </row>
    <row r="11" spans="1:10" ht="13.5">
      <c r="A11" s="703"/>
      <c r="B11" s="711">
        <v>357</v>
      </c>
      <c r="C11" s="712" t="s">
        <v>833</v>
      </c>
      <c r="D11" s="712"/>
      <c r="E11" s="713">
        <v>1.65</v>
      </c>
      <c r="F11" s="703"/>
    </row>
    <row r="12" spans="1:10" ht="13.5">
      <c r="A12" s="703"/>
      <c r="B12" s="711">
        <v>358</v>
      </c>
      <c r="C12" s="712" t="s">
        <v>834</v>
      </c>
      <c r="D12" s="712"/>
      <c r="E12" s="713">
        <v>1.57</v>
      </c>
      <c r="F12" s="703"/>
    </row>
    <row r="13" spans="1:10" ht="13.5">
      <c r="A13" s="703"/>
      <c r="B13" s="711">
        <v>359</v>
      </c>
      <c r="C13" s="712" t="s">
        <v>835</v>
      </c>
      <c r="D13" s="712"/>
      <c r="E13" s="713">
        <v>1.75</v>
      </c>
      <c r="F13" s="703"/>
    </row>
    <row r="14" spans="1:10" ht="13.5">
      <c r="A14" s="703"/>
      <c r="B14" s="704" t="s">
        <v>836</v>
      </c>
      <c r="C14" s="705"/>
      <c r="D14" s="705"/>
      <c r="E14" s="706" t="s">
        <v>823</v>
      </c>
      <c r="F14" s="703"/>
    </row>
    <row r="15" spans="1:10" ht="13.5">
      <c r="A15" s="703"/>
      <c r="B15" s="718" t="s">
        <v>824</v>
      </c>
      <c r="C15" s="718" t="s">
        <v>825</v>
      </c>
      <c r="D15" s="718"/>
      <c r="E15" s="709" t="s">
        <v>826</v>
      </c>
      <c r="F15" s="703"/>
    </row>
    <row r="16" spans="1:10" ht="13.5">
      <c r="A16" s="703"/>
      <c r="B16" s="711">
        <v>390</v>
      </c>
      <c r="C16" s="712" t="s">
        <v>828</v>
      </c>
      <c r="D16" s="712"/>
      <c r="E16" s="713">
        <v>7.11</v>
      </c>
      <c r="F16" s="703"/>
    </row>
    <row r="17" spans="1:6" ht="13.5">
      <c r="A17" s="703"/>
      <c r="B17" s="711">
        <v>391.1</v>
      </c>
      <c r="C17" s="712" t="s">
        <v>837</v>
      </c>
      <c r="D17" s="712"/>
      <c r="E17" s="713">
        <v>5.65</v>
      </c>
      <c r="F17" s="703"/>
    </row>
    <row r="18" spans="1:6" ht="13.5">
      <c r="A18" s="703"/>
      <c r="B18" s="711">
        <v>391.2</v>
      </c>
      <c r="C18" s="712" t="s">
        <v>838</v>
      </c>
      <c r="D18" s="712"/>
      <c r="E18" s="713">
        <v>7.39</v>
      </c>
      <c r="F18" s="703"/>
    </row>
    <row r="19" spans="1:6" ht="13.5">
      <c r="A19" s="703"/>
      <c r="B19" s="711">
        <v>391.33</v>
      </c>
      <c r="C19" s="712" t="s">
        <v>839</v>
      </c>
      <c r="D19" s="712"/>
      <c r="E19" s="713">
        <v>19.84</v>
      </c>
      <c r="F19" s="703"/>
    </row>
    <row r="20" spans="1:6" ht="13.5">
      <c r="A20" s="703"/>
      <c r="B20" s="711">
        <v>393</v>
      </c>
      <c r="C20" s="712" t="s">
        <v>840</v>
      </c>
      <c r="D20" s="712"/>
      <c r="E20" s="713">
        <v>6.38</v>
      </c>
      <c r="F20" s="703"/>
    </row>
    <row r="21" spans="1:6" ht="13.5">
      <c r="A21" s="703"/>
      <c r="B21" s="711">
        <v>394</v>
      </c>
      <c r="C21" s="712" t="s">
        <v>841</v>
      </c>
      <c r="D21" s="712"/>
      <c r="E21" s="713">
        <v>4.9400000000000004</v>
      </c>
      <c r="F21" s="703"/>
    </row>
    <row r="22" spans="1:6" ht="13.5">
      <c r="A22" s="703"/>
      <c r="B22" s="711">
        <v>395</v>
      </c>
      <c r="C22" s="712" t="s">
        <v>842</v>
      </c>
      <c r="D22" s="712"/>
      <c r="E22" s="713">
        <v>16.03</v>
      </c>
      <c r="F22" s="703"/>
    </row>
    <row r="23" spans="1:6" ht="13.5">
      <c r="A23" s="703"/>
      <c r="B23" s="711">
        <v>397</v>
      </c>
      <c r="C23" s="712" t="s">
        <v>843</v>
      </c>
      <c r="D23" s="712"/>
      <c r="E23" s="713">
        <v>3.11</v>
      </c>
      <c r="F23" s="703"/>
    </row>
    <row r="24" spans="1:6" ht="13.5">
      <c r="A24" s="703"/>
      <c r="B24" s="711">
        <v>397.6</v>
      </c>
      <c r="C24" s="712" t="s">
        <v>844</v>
      </c>
      <c r="D24" s="712"/>
      <c r="E24" s="713">
        <v>6.72</v>
      </c>
      <c r="F24" s="703"/>
    </row>
    <row r="25" spans="1:6" ht="13.5">
      <c r="A25" s="703"/>
      <c r="B25" s="711">
        <v>397.61</v>
      </c>
      <c r="C25" s="712" t="s">
        <v>845</v>
      </c>
      <c r="D25" s="712"/>
      <c r="E25" s="713">
        <v>6.92</v>
      </c>
      <c r="F25" s="703"/>
    </row>
    <row r="26" spans="1:6" ht="13.5">
      <c r="A26" s="703"/>
      <c r="B26" s="711">
        <v>397.62</v>
      </c>
      <c r="C26" s="712" t="s">
        <v>846</v>
      </c>
      <c r="D26" s="712"/>
      <c r="E26" s="713">
        <v>6.73</v>
      </c>
      <c r="F26" s="703"/>
    </row>
    <row r="27" spans="1:6" ht="13.5">
      <c r="A27" s="703"/>
      <c r="B27" s="711">
        <v>397.64</v>
      </c>
      <c r="C27" s="712" t="s">
        <v>847</v>
      </c>
      <c r="D27" s="712"/>
      <c r="E27" s="713">
        <v>10.44</v>
      </c>
      <c r="F27" s="703"/>
    </row>
    <row r="28" spans="1:6" ht="13.5">
      <c r="A28" s="703"/>
      <c r="B28" s="711">
        <v>398</v>
      </c>
      <c r="C28" s="712" t="s">
        <v>848</v>
      </c>
      <c r="D28" s="712"/>
      <c r="E28" s="713">
        <v>5.08</v>
      </c>
      <c r="F28" s="703"/>
    </row>
    <row r="29" spans="1:6" ht="13.5">
      <c r="A29" s="703"/>
      <c r="B29" s="704" t="s">
        <v>849</v>
      </c>
      <c r="C29" s="712"/>
      <c r="D29" s="712"/>
      <c r="E29" s="706" t="s">
        <v>823</v>
      </c>
      <c r="F29" s="703"/>
    </row>
    <row r="30" spans="1:6" ht="13.5">
      <c r="A30" s="703"/>
      <c r="B30" s="705" t="s">
        <v>824</v>
      </c>
      <c r="C30" s="705" t="s">
        <v>825</v>
      </c>
      <c r="D30" s="705"/>
      <c r="E30" s="709" t="s">
        <v>826</v>
      </c>
      <c r="F30" s="703"/>
    </row>
    <row r="31" spans="1:6" ht="13.5">
      <c r="A31" s="703"/>
      <c r="B31" s="711">
        <v>390</v>
      </c>
      <c r="C31" s="712" t="s">
        <v>828</v>
      </c>
      <c r="D31" s="712"/>
      <c r="E31" s="719">
        <v>2.39</v>
      </c>
      <c r="F31" s="703"/>
    </row>
    <row r="32" spans="1:6" ht="13.5">
      <c r="A32" s="703"/>
      <c r="B32" s="711">
        <v>391.1</v>
      </c>
      <c r="C32" s="712" t="s">
        <v>837</v>
      </c>
      <c r="D32" s="712"/>
      <c r="E32" s="719">
        <v>5.82</v>
      </c>
      <c r="F32" s="703"/>
    </row>
    <row r="33" spans="1:6" ht="13.5">
      <c r="A33" s="703"/>
      <c r="B33" s="711">
        <v>391.2</v>
      </c>
      <c r="C33" s="712" t="s">
        <v>838</v>
      </c>
      <c r="D33" s="712"/>
      <c r="E33" s="719">
        <v>9.82</v>
      </c>
      <c r="F33" s="703"/>
    </row>
    <row r="34" spans="1:6" ht="13.5">
      <c r="A34" s="703"/>
      <c r="B34" s="711">
        <v>391.33</v>
      </c>
      <c r="C34" s="712" t="s">
        <v>850</v>
      </c>
      <c r="D34" s="712"/>
      <c r="E34" s="719">
        <v>29.7</v>
      </c>
      <c r="F34" s="703"/>
    </row>
    <row r="35" spans="1:6" ht="13.5">
      <c r="A35" s="703"/>
      <c r="B35" s="711">
        <v>391.36</v>
      </c>
      <c r="C35" s="712" t="s">
        <v>851</v>
      </c>
      <c r="D35" s="712"/>
      <c r="E35" s="719">
        <v>9.89</v>
      </c>
      <c r="F35" s="703"/>
    </row>
    <row r="36" spans="1:6" ht="13.5">
      <c r="A36" s="703"/>
      <c r="B36" s="711">
        <v>392.5</v>
      </c>
      <c r="C36" s="712" t="s">
        <v>852</v>
      </c>
      <c r="D36" s="712"/>
      <c r="E36" s="719">
        <v>0.15</v>
      </c>
      <c r="F36" s="703"/>
    </row>
    <row r="37" spans="1:6" ht="13.5">
      <c r="A37" s="703"/>
      <c r="B37" s="711">
        <v>393</v>
      </c>
      <c r="C37" s="712" t="s">
        <v>840</v>
      </c>
      <c r="D37" s="712"/>
      <c r="E37" s="719">
        <v>5.5</v>
      </c>
      <c r="F37" s="703"/>
    </row>
    <row r="38" spans="1:6" ht="13.5">
      <c r="A38" s="703"/>
      <c r="B38" s="711">
        <v>394.1</v>
      </c>
      <c r="C38" s="712" t="s">
        <v>853</v>
      </c>
      <c r="D38" s="712"/>
      <c r="E38" s="719">
        <v>7.32</v>
      </c>
      <c r="F38" s="703"/>
    </row>
    <row r="39" spans="1:6" ht="13.5">
      <c r="A39" s="703"/>
      <c r="B39" s="711">
        <v>394.2</v>
      </c>
      <c r="C39" s="712" t="s">
        <v>854</v>
      </c>
      <c r="D39" s="712"/>
      <c r="E39" s="719">
        <v>5.55</v>
      </c>
      <c r="F39" s="703"/>
    </row>
    <row r="40" spans="1:6" ht="13.5">
      <c r="A40" s="703"/>
      <c r="B40" s="711">
        <v>394.3</v>
      </c>
      <c r="C40" s="712" t="s">
        <v>855</v>
      </c>
      <c r="D40" s="712"/>
      <c r="E40" s="719">
        <v>5.77</v>
      </c>
      <c r="F40" s="703"/>
    </row>
    <row r="41" spans="1:6" ht="13.5">
      <c r="A41" s="703"/>
      <c r="B41" s="711">
        <v>395</v>
      </c>
      <c r="C41" s="712" t="s">
        <v>842</v>
      </c>
      <c r="D41" s="712"/>
      <c r="E41" s="719">
        <v>4.9800000000000004</v>
      </c>
      <c r="F41" s="703"/>
    </row>
    <row r="42" spans="1:6" ht="13.5">
      <c r="A42" s="703"/>
      <c r="B42" s="711">
        <v>397.1</v>
      </c>
      <c r="C42" s="712" t="s">
        <v>856</v>
      </c>
      <c r="D42" s="712"/>
      <c r="E42" s="719">
        <v>10.89</v>
      </c>
      <c r="F42" s="703"/>
    </row>
    <row r="43" spans="1:6" ht="13.5">
      <c r="A43" s="703"/>
      <c r="B43" s="711">
        <v>397.2</v>
      </c>
      <c r="C43" s="712" t="s">
        <v>857</v>
      </c>
      <c r="D43" s="712"/>
      <c r="E43" s="719">
        <v>5.98</v>
      </c>
      <c r="F43" s="703"/>
    </row>
    <row r="44" spans="1:6" ht="13.5">
      <c r="A44" s="703"/>
      <c r="B44" s="711">
        <v>397.3</v>
      </c>
      <c r="C44" s="712" t="s">
        <v>858</v>
      </c>
      <c r="D44" s="712"/>
      <c r="E44" s="719">
        <v>5.25</v>
      </c>
      <c r="F44" s="703"/>
    </row>
    <row r="45" spans="1:6" ht="13.5">
      <c r="A45" s="703"/>
      <c r="B45" s="711">
        <v>397.4</v>
      </c>
      <c r="C45" s="712" t="s">
        <v>859</v>
      </c>
      <c r="D45" s="712"/>
      <c r="E45" s="719">
        <v>3.01</v>
      </c>
      <c r="F45" s="703"/>
    </row>
    <row r="46" spans="1:6" ht="13.5">
      <c r="A46" s="703"/>
      <c r="B46" s="711">
        <v>397.5</v>
      </c>
      <c r="C46" s="712" t="s">
        <v>860</v>
      </c>
      <c r="D46" s="712"/>
      <c r="E46" s="719">
        <v>4.82</v>
      </c>
      <c r="F46" s="703"/>
    </row>
    <row r="47" spans="1:6" ht="13.5">
      <c r="A47" s="703"/>
      <c r="B47" s="711">
        <v>397.6</v>
      </c>
      <c r="C47" s="712" t="s">
        <v>861</v>
      </c>
      <c r="D47" s="712"/>
      <c r="E47" s="719">
        <v>10.37</v>
      </c>
      <c r="F47" s="703"/>
    </row>
    <row r="48" spans="1:6" ht="13.5">
      <c r="A48" s="703"/>
      <c r="B48" s="711">
        <v>398</v>
      </c>
      <c r="C48" s="712" t="s">
        <v>848</v>
      </c>
      <c r="D48" s="712"/>
      <c r="E48" s="719">
        <v>8.65</v>
      </c>
      <c r="F48" s="703"/>
    </row>
  </sheetData>
  <mergeCells count="2">
    <mergeCell ref="A1:E1"/>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
  <sheetViews>
    <sheetView zoomScaleNormal="100" workbookViewId="0">
      <selection activeCell="D169" sqref="D169"/>
    </sheetView>
  </sheetViews>
  <sheetFormatPr defaultColWidth="9.140625" defaultRowHeight="12.75"/>
  <cols>
    <col min="1" max="1" width="9.85546875" style="925" bestFit="1" customWidth="1"/>
    <col min="2" max="2" width="51.85546875" style="627" bestFit="1" customWidth="1"/>
    <col min="3" max="3" width="12" style="627" bestFit="1" customWidth="1"/>
    <col min="4" max="4" width="14.85546875" style="627" customWidth="1"/>
    <col min="5" max="5" width="14.5703125" style="627" customWidth="1"/>
    <col min="6" max="6" width="14.28515625" style="627" bestFit="1" customWidth="1"/>
    <col min="7" max="7" width="16.5703125" style="627" bestFit="1" customWidth="1"/>
    <col min="8" max="8" width="37.140625" style="923" customWidth="1"/>
    <col min="9" max="9" width="19" style="924" bestFit="1" customWidth="1"/>
    <col min="10" max="10" width="15.5703125" style="924" bestFit="1" customWidth="1"/>
    <col min="11" max="11" width="19" style="924" bestFit="1" customWidth="1"/>
    <col min="12" max="16384" width="9.140625" style="627"/>
  </cols>
  <sheetData>
    <row r="1" spans="1:8" ht="18">
      <c r="A1" s="1071" t="s">
        <v>70</v>
      </c>
      <c r="B1" s="1072"/>
      <c r="C1" s="1072"/>
      <c r="D1" s="1072"/>
      <c r="E1" s="1072"/>
      <c r="F1" s="1072"/>
      <c r="G1" s="1072"/>
    </row>
    <row r="2" spans="1:8">
      <c r="A2" s="187"/>
      <c r="B2" s="115"/>
    </row>
    <row r="3" spans="1:8" ht="15.75">
      <c r="B3" s="1073" t="s">
        <v>47</v>
      </c>
      <c r="C3" s="1073"/>
      <c r="D3" s="1073"/>
      <c r="E3" s="1073"/>
      <c r="F3" s="1073"/>
      <c r="G3" s="1073"/>
    </row>
    <row r="4" spans="1:8">
      <c r="G4" s="574" t="s">
        <v>430</v>
      </c>
    </row>
    <row r="5" spans="1:8">
      <c r="D5" s="816" t="s">
        <v>423</v>
      </c>
      <c r="E5" s="816"/>
      <c r="G5" s="816"/>
    </row>
    <row r="6" spans="1:8">
      <c r="D6" s="816" t="s">
        <v>402</v>
      </c>
      <c r="E6" s="816" t="s">
        <v>418</v>
      </c>
      <c r="F6" s="816" t="s">
        <v>420</v>
      </c>
      <c r="G6" s="816" t="s">
        <v>340</v>
      </c>
    </row>
    <row r="7" spans="1:8">
      <c r="D7" s="816" t="s">
        <v>419</v>
      </c>
      <c r="E7" s="816" t="s">
        <v>419</v>
      </c>
      <c r="F7" s="816" t="s">
        <v>419</v>
      </c>
      <c r="G7" s="816" t="s">
        <v>435</v>
      </c>
    </row>
    <row r="10" spans="1:8">
      <c r="B10" s="574" t="s">
        <v>404</v>
      </c>
      <c r="D10" s="926">
        <f>+E83</f>
        <v>0</v>
      </c>
      <c r="E10" s="926">
        <f>+F83</f>
        <v>-1331933958</v>
      </c>
      <c r="F10" s="926">
        <f>+G83</f>
        <v>0</v>
      </c>
    </row>
    <row r="11" spans="1:8">
      <c r="B11" s="574" t="s">
        <v>405</v>
      </c>
      <c r="D11" s="926">
        <f>+E135</f>
        <v>0</v>
      </c>
      <c r="E11" s="926">
        <f>+F135</f>
        <v>-58249232.219999999</v>
      </c>
      <c r="F11" s="926">
        <f>+G135</f>
        <v>-2728893.78</v>
      </c>
    </row>
    <row r="12" spans="1:8">
      <c r="B12" s="574" t="s">
        <v>403</v>
      </c>
      <c r="D12" s="926">
        <f>+E53</f>
        <v>0</v>
      </c>
      <c r="E12" s="926">
        <f>+F53</f>
        <v>17359229</v>
      </c>
      <c r="F12" s="926">
        <f>+G53</f>
        <v>-85206414</v>
      </c>
    </row>
    <row r="13" spans="1:8">
      <c r="B13" s="574" t="s">
        <v>377</v>
      </c>
      <c r="D13" s="926">
        <f>SUM(D10:D12)</f>
        <v>0</v>
      </c>
      <c r="E13" s="926">
        <f>SUM(E10:E12)</f>
        <v>-1372823961.22</v>
      </c>
      <c r="F13" s="926">
        <f>SUM(F10:F12)</f>
        <v>-87935307.780000001</v>
      </c>
      <c r="G13" s="926">
        <f>SUM(D13:F13)</f>
        <v>-1460759269</v>
      </c>
      <c r="H13" s="1051"/>
    </row>
    <row r="14" spans="1:8">
      <c r="B14" s="574" t="s">
        <v>685</v>
      </c>
      <c r="F14" s="927">
        <f>+'ATT H-2A'!H16</f>
        <v>0.17040128500007015</v>
      </c>
      <c r="H14" s="1054"/>
    </row>
    <row r="15" spans="1:8">
      <c r="B15" s="810" t="s">
        <v>152</v>
      </c>
      <c r="E15" s="927">
        <f>+'ATT H-2A'!H32</f>
        <v>0.20420825967620285</v>
      </c>
      <c r="H15" s="1054"/>
    </row>
    <row r="16" spans="1:8">
      <c r="B16" s="574" t="s">
        <v>435</v>
      </c>
      <c r="D16" s="926">
        <f>+D13</f>
        <v>0</v>
      </c>
      <c r="E16" s="926">
        <f>+E15*E13</f>
        <v>-280341991.96252722</v>
      </c>
      <c r="F16" s="926">
        <f>+F14*F13</f>
        <v>-14984289.442588666</v>
      </c>
      <c r="G16" s="926">
        <f>SUM(D16:F16)</f>
        <v>-295326281.4051159</v>
      </c>
    </row>
    <row r="18" spans="1:9">
      <c r="B18" s="645" t="s">
        <v>770</v>
      </c>
      <c r="C18" s="645"/>
      <c r="D18" s="645"/>
      <c r="E18" s="645"/>
      <c r="F18" s="645"/>
      <c r="G18" s="645"/>
    </row>
    <row r="19" spans="1:9">
      <c r="B19" s="645"/>
      <c r="C19" s="645"/>
      <c r="D19" s="645" t="s">
        <v>94</v>
      </c>
      <c r="E19" s="928">
        <f>+D109</f>
        <v>-2231529</v>
      </c>
      <c r="F19" s="645"/>
      <c r="G19" s="645"/>
    </row>
    <row r="20" spans="1:9">
      <c r="B20" s="645"/>
      <c r="C20" s="645"/>
      <c r="D20" s="645"/>
      <c r="E20" s="645"/>
      <c r="F20" s="645"/>
      <c r="G20" s="645"/>
    </row>
    <row r="22" spans="1:9" ht="17.45" customHeight="1">
      <c r="A22" s="929" t="s">
        <v>159</v>
      </c>
    </row>
    <row r="23" spans="1:9">
      <c r="A23" s="929" t="s">
        <v>643</v>
      </c>
    </row>
    <row r="24" spans="1:9" ht="15.75">
      <c r="B24" s="1073" t="str">
        <f>+B3</f>
        <v>Attachment 1 - Accumulated Deferred Income Taxes (ADIT) Worksheet</v>
      </c>
      <c r="C24" s="1073"/>
      <c r="D24" s="1073"/>
      <c r="E24" s="1073"/>
      <c r="F24" s="1073"/>
      <c r="G24" s="1073"/>
    </row>
    <row r="25" spans="1:9">
      <c r="G25" s="574" t="s">
        <v>431</v>
      </c>
    </row>
    <row r="26" spans="1:9">
      <c r="D26" s="819" t="s">
        <v>178</v>
      </c>
      <c r="E26" s="819" t="s">
        <v>341</v>
      </c>
      <c r="F26" s="819" t="s">
        <v>150</v>
      </c>
      <c r="G26" s="819" t="s">
        <v>179</v>
      </c>
      <c r="H26" s="923" t="s">
        <v>177</v>
      </c>
    </row>
    <row r="27" spans="1:9">
      <c r="B27" s="574" t="s">
        <v>403</v>
      </c>
      <c r="D27" s="816" t="s">
        <v>421</v>
      </c>
      <c r="E27" s="816" t="s">
        <v>423</v>
      </c>
      <c r="F27" s="816"/>
      <c r="G27" s="816"/>
    </row>
    <row r="28" spans="1:9">
      <c r="D28" s="816" t="s">
        <v>422</v>
      </c>
      <c r="E28" s="816" t="s">
        <v>402</v>
      </c>
      <c r="F28" s="816" t="s">
        <v>418</v>
      </c>
      <c r="G28" s="816" t="s">
        <v>420</v>
      </c>
      <c r="H28" s="923" t="s">
        <v>126</v>
      </c>
    </row>
    <row r="29" spans="1:9">
      <c r="D29" s="816" t="s">
        <v>419</v>
      </c>
      <c r="E29" s="816" t="s">
        <v>419</v>
      </c>
      <c r="F29" s="816" t="s">
        <v>419</v>
      </c>
      <c r="G29" s="816" t="s">
        <v>419</v>
      </c>
      <c r="H29" s="923" t="s">
        <v>127</v>
      </c>
    </row>
    <row r="30" spans="1:9">
      <c r="B30" s="183"/>
      <c r="D30" s="930"/>
      <c r="E30" s="930"/>
      <c r="F30" s="930"/>
      <c r="G30" s="930"/>
    </row>
    <row r="31" spans="1:9" ht="102">
      <c r="A31" s="722">
        <v>190</v>
      </c>
      <c r="B31" s="723" t="s">
        <v>862</v>
      </c>
      <c r="C31" s="724"/>
      <c r="D31" s="725">
        <f>-22247526+(-38094)</f>
        <v>-22285620</v>
      </c>
      <c r="E31" s="725"/>
      <c r="F31" s="725"/>
      <c r="G31" s="725">
        <v>-85206414</v>
      </c>
      <c r="H31" s="726" t="s">
        <v>692</v>
      </c>
      <c r="I31" s="660"/>
    </row>
    <row r="32" spans="1:9" ht="25.5">
      <c r="A32" s="722">
        <v>190</v>
      </c>
      <c r="B32" s="723" t="s">
        <v>863</v>
      </c>
      <c r="C32" s="724"/>
      <c r="D32" s="725">
        <f>7585226+2785271</f>
        <v>10370497</v>
      </c>
      <c r="E32" s="725"/>
      <c r="F32" s="725"/>
      <c r="G32" s="725"/>
      <c r="H32" s="726" t="s">
        <v>688</v>
      </c>
    </row>
    <row r="33" spans="1:9" ht="25.5">
      <c r="A33" s="722">
        <v>190</v>
      </c>
      <c r="B33" s="723" t="s">
        <v>864</v>
      </c>
      <c r="C33" s="724"/>
      <c r="D33" s="725">
        <f>8024458+3396542+3303030</f>
        <v>14724030</v>
      </c>
      <c r="E33" s="725"/>
      <c r="F33" s="725"/>
      <c r="G33" s="725"/>
      <c r="H33" s="726" t="s">
        <v>688</v>
      </c>
    </row>
    <row r="34" spans="1:9" ht="38.25">
      <c r="A34" s="722">
        <v>190</v>
      </c>
      <c r="B34" s="723" t="s">
        <v>865</v>
      </c>
      <c r="C34" s="724"/>
      <c r="D34" s="725">
        <f>1641308+807548+488726+180762</f>
        <v>3118344</v>
      </c>
      <c r="E34" s="725"/>
      <c r="F34" s="725"/>
      <c r="G34" s="725"/>
      <c r="H34" s="726" t="s">
        <v>693</v>
      </c>
    </row>
    <row r="35" spans="1:9" ht="25.5">
      <c r="A35" s="722">
        <v>190</v>
      </c>
      <c r="B35" s="723" t="s">
        <v>866</v>
      </c>
      <c r="C35" s="724"/>
      <c r="D35" s="725">
        <f>12917884+5554173</f>
        <v>18472057</v>
      </c>
      <c r="E35" s="725"/>
      <c r="F35" s="725"/>
      <c r="G35" s="725"/>
      <c r="H35" s="726" t="s">
        <v>688</v>
      </c>
    </row>
    <row r="36" spans="1:9" ht="25.5">
      <c r="A36" s="722">
        <v>190</v>
      </c>
      <c r="B36" s="723" t="s">
        <v>867</v>
      </c>
      <c r="C36" s="724"/>
      <c r="D36" s="725">
        <f>1278499+352260</f>
        <v>1630759</v>
      </c>
      <c r="E36" s="725"/>
      <c r="F36" s="725"/>
      <c r="G36" s="725"/>
      <c r="H36" s="726" t="s">
        <v>688</v>
      </c>
    </row>
    <row r="37" spans="1:9">
      <c r="A37" s="722">
        <v>190</v>
      </c>
      <c r="B37" s="723" t="s">
        <v>868</v>
      </c>
      <c r="C37" s="724"/>
      <c r="D37" s="725">
        <f>385188+319067</f>
        <v>704255</v>
      </c>
      <c r="E37" s="725"/>
      <c r="F37" s="725"/>
      <c r="G37" s="725"/>
      <c r="H37" s="726" t="s">
        <v>330</v>
      </c>
    </row>
    <row r="38" spans="1:9" ht="25.5">
      <c r="A38" s="722">
        <v>190</v>
      </c>
      <c r="B38" s="723" t="s">
        <v>869</v>
      </c>
      <c r="C38" s="724"/>
      <c r="D38" s="725">
        <f>1222163+391540</f>
        <v>1613703</v>
      </c>
      <c r="E38" s="725"/>
      <c r="F38" s="725"/>
      <c r="G38" s="725"/>
      <c r="H38" s="726" t="s">
        <v>688</v>
      </c>
    </row>
    <row r="39" spans="1:9" ht="25.5">
      <c r="A39" s="722">
        <v>190</v>
      </c>
      <c r="B39" s="723" t="s">
        <v>870</v>
      </c>
      <c r="C39" s="724"/>
      <c r="D39" s="725">
        <f>-539561-226491+727286</f>
        <v>-38766</v>
      </c>
      <c r="E39" s="725"/>
      <c r="F39" s="725"/>
      <c r="G39" s="725"/>
      <c r="H39" s="726" t="s">
        <v>688</v>
      </c>
    </row>
    <row r="40" spans="1:9" ht="25.5">
      <c r="A40" s="722">
        <v>190</v>
      </c>
      <c r="B40" s="723" t="s">
        <v>407</v>
      </c>
      <c r="C40" s="724"/>
      <c r="D40" s="725">
        <f>898096+1962661+1036838-391540+15585</f>
        <v>3521640</v>
      </c>
      <c r="E40" s="725"/>
      <c r="F40" s="725"/>
      <c r="G40" s="725"/>
      <c r="H40" s="726" t="s">
        <v>688</v>
      </c>
    </row>
    <row r="41" spans="1:9">
      <c r="A41" s="722">
        <v>190</v>
      </c>
      <c r="B41" s="723" t="s">
        <v>871</v>
      </c>
      <c r="C41" s="724"/>
      <c r="D41" s="725">
        <v>1932320</v>
      </c>
      <c r="E41" s="725"/>
      <c r="F41" s="725"/>
      <c r="G41" s="725"/>
      <c r="H41" s="726" t="s">
        <v>330</v>
      </c>
    </row>
    <row r="42" spans="1:9">
      <c r="A42" s="722">
        <v>190</v>
      </c>
      <c r="B42" s="723" t="s">
        <v>872</v>
      </c>
      <c r="C42" s="724"/>
      <c r="D42" s="725">
        <v>-165635</v>
      </c>
      <c r="E42" s="725"/>
      <c r="F42" s="725"/>
      <c r="G42" s="725"/>
      <c r="H42" s="726" t="s">
        <v>330</v>
      </c>
    </row>
    <row r="43" spans="1:9" ht="25.5">
      <c r="A43" s="722">
        <v>190</v>
      </c>
      <c r="B43" s="723" t="s">
        <v>873</v>
      </c>
      <c r="C43" s="724"/>
      <c r="D43" s="725">
        <v>8700205</v>
      </c>
      <c r="E43" s="725"/>
      <c r="F43" s="725"/>
      <c r="G43" s="725"/>
      <c r="H43" s="726" t="s">
        <v>688</v>
      </c>
    </row>
    <row r="44" spans="1:9" ht="25.5">
      <c r="A44" s="722">
        <v>190</v>
      </c>
      <c r="B44" s="723" t="s">
        <v>874</v>
      </c>
      <c r="C44" s="724"/>
      <c r="D44" s="725">
        <f>656-15585</f>
        <v>-14929</v>
      </c>
      <c r="E44" s="725"/>
      <c r="F44" s="725"/>
      <c r="G44" s="725"/>
      <c r="H44" s="726" t="s">
        <v>688</v>
      </c>
    </row>
    <row r="45" spans="1:9" ht="25.5">
      <c r="A45" s="722">
        <v>190</v>
      </c>
      <c r="B45" s="723" t="s">
        <v>875</v>
      </c>
      <c r="C45" s="724"/>
      <c r="D45" s="725">
        <f>63327703+9014573+898477</f>
        <v>73240753</v>
      </c>
      <c r="E45" s="725"/>
      <c r="F45" s="725"/>
      <c r="G45" s="725"/>
      <c r="H45" s="726" t="s">
        <v>688</v>
      </c>
    </row>
    <row r="46" spans="1:9" ht="51">
      <c r="A46" s="722">
        <v>190</v>
      </c>
      <c r="B46" s="723" t="s">
        <v>876</v>
      </c>
      <c r="C46" s="724"/>
      <c r="D46" s="725">
        <f>(8238504+(3826278))</f>
        <v>12064782</v>
      </c>
      <c r="E46" s="725"/>
      <c r="F46" s="725">
        <v>17359229</v>
      </c>
      <c r="G46" s="725"/>
      <c r="H46" s="726" t="s">
        <v>877</v>
      </c>
      <c r="I46" s="660"/>
    </row>
    <row r="47" spans="1:9" ht="25.5">
      <c r="A47" s="722">
        <v>190</v>
      </c>
      <c r="B47" s="594" t="s">
        <v>1009</v>
      </c>
      <c r="C47" s="724"/>
      <c r="D47" s="725">
        <f>-935184+376677+2167061</f>
        <v>1608554</v>
      </c>
      <c r="E47" s="725"/>
      <c r="F47" s="725"/>
      <c r="G47" s="725"/>
      <c r="H47" s="726" t="s">
        <v>688</v>
      </c>
    </row>
    <row r="48" spans="1:9">
      <c r="A48" s="722"/>
      <c r="B48" s="595"/>
      <c r="C48" s="724"/>
      <c r="D48" s="725"/>
      <c r="E48" s="725"/>
      <c r="F48" s="725"/>
      <c r="G48" s="725"/>
      <c r="H48" s="931"/>
    </row>
    <row r="49" spans="1:8">
      <c r="A49" s="722"/>
      <c r="B49" s="595"/>
      <c r="C49" s="724"/>
      <c r="D49" s="729"/>
      <c r="E49" s="729"/>
      <c r="F49" s="729"/>
      <c r="G49" s="729"/>
      <c r="H49" s="931"/>
    </row>
    <row r="50" spans="1:8">
      <c r="B50" s="186" t="s">
        <v>434</v>
      </c>
      <c r="D50" s="932">
        <f>SUM(D31:D49)</f>
        <v>129196949</v>
      </c>
      <c r="E50" s="932">
        <f>SUM(E31:E49)</f>
        <v>0</v>
      </c>
      <c r="F50" s="932">
        <f>SUM(F31:F49)</f>
        <v>17359229</v>
      </c>
      <c r="G50" s="932">
        <f>SUM(G31:G49)</f>
        <v>-85206414</v>
      </c>
      <c r="H50" s="1051"/>
    </row>
    <row r="51" spans="1:8">
      <c r="B51" s="181" t="s">
        <v>60</v>
      </c>
      <c r="D51" s="928"/>
      <c r="E51" s="928">
        <f>SUM(E47:E47)</f>
        <v>0</v>
      </c>
      <c r="F51" s="928">
        <f>SUM(F47:F47)</f>
        <v>0</v>
      </c>
      <c r="G51" s="933"/>
      <c r="H51" s="593"/>
    </row>
    <row r="52" spans="1:8">
      <c r="B52" s="181" t="s">
        <v>61</v>
      </c>
      <c r="D52" s="928"/>
      <c r="E52" s="928">
        <v>0</v>
      </c>
      <c r="F52" s="928">
        <v>0</v>
      </c>
      <c r="G52" s="928">
        <v>0</v>
      </c>
      <c r="H52" s="1052"/>
    </row>
    <row r="53" spans="1:8">
      <c r="B53" s="181" t="s">
        <v>340</v>
      </c>
      <c r="D53" s="932">
        <f>+D50-D51-D52</f>
        <v>129196949</v>
      </c>
      <c r="E53" s="932">
        <f>+E50-E51-E52</f>
        <v>0</v>
      </c>
      <c r="F53" s="932">
        <f>+F50-F51-F52</f>
        <v>17359229</v>
      </c>
      <c r="G53" s="932">
        <f>+G50-G51-G52</f>
        <v>-85206414</v>
      </c>
    </row>
    <row r="54" spans="1:8">
      <c r="B54" s="177"/>
      <c r="D54" s="645"/>
      <c r="E54" s="645"/>
      <c r="F54" s="659"/>
      <c r="G54" s="659"/>
    </row>
    <row r="55" spans="1:8">
      <c r="B55" s="181" t="s">
        <v>424</v>
      </c>
      <c r="D55" s="645"/>
      <c r="E55" s="645"/>
      <c r="F55" s="659"/>
      <c r="G55" s="659"/>
    </row>
    <row r="56" spans="1:8" ht="25.5" customHeight="1">
      <c r="B56" s="1074" t="s">
        <v>436</v>
      </c>
      <c r="C56" s="1070"/>
      <c r="D56" s="1070"/>
      <c r="E56" s="1070"/>
      <c r="F56" s="1070"/>
      <c r="G56" s="1070"/>
    </row>
    <row r="57" spans="1:8">
      <c r="B57" s="182" t="s">
        <v>427</v>
      </c>
      <c r="D57" s="645"/>
      <c r="E57" s="645"/>
      <c r="F57" s="659"/>
      <c r="G57" s="659"/>
    </row>
    <row r="58" spans="1:8">
      <c r="B58" s="182" t="s">
        <v>428</v>
      </c>
      <c r="D58" s="645"/>
      <c r="E58" s="645"/>
      <c r="F58" s="659"/>
      <c r="G58" s="659"/>
    </row>
    <row r="59" spans="1:8">
      <c r="B59" s="182" t="s">
        <v>429</v>
      </c>
      <c r="D59" s="645"/>
      <c r="E59" s="645"/>
      <c r="F59" s="659"/>
      <c r="G59" s="659"/>
    </row>
    <row r="60" spans="1:8">
      <c r="B60" s="1075" t="s">
        <v>43</v>
      </c>
      <c r="C60" s="1076"/>
      <c r="D60" s="1076"/>
      <c r="E60" s="1076"/>
      <c r="F60" s="1076"/>
      <c r="G60" s="1076"/>
      <c r="H60" s="593"/>
    </row>
    <row r="61" spans="1:8">
      <c r="B61" s="1076"/>
      <c r="C61" s="1076"/>
      <c r="D61" s="1076"/>
      <c r="E61" s="1076"/>
      <c r="F61" s="1076"/>
      <c r="G61" s="1076"/>
    </row>
    <row r="62" spans="1:8">
      <c r="B62" s="182"/>
      <c r="D62" s="645"/>
      <c r="E62" s="645"/>
      <c r="F62" s="659"/>
      <c r="G62" s="659"/>
    </row>
    <row r="63" spans="1:8" ht="15.75">
      <c r="B63" s="1073" t="str">
        <f>+B24</f>
        <v>Attachment 1 - Accumulated Deferred Income Taxes (ADIT) Worksheet</v>
      </c>
      <c r="C63" s="1073"/>
      <c r="D63" s="1073"/>
      <c r="E63" s="1073"/>
      <c r="F63" s="1073"/>
      <c r="G63" s="1073"/>
    </row>
    <row r="64" spans="1:8">
      <c r="G64" s="574" t="s">
        <v>432</v>
      </c>
    </row>
    <row r="65" spans="1:8">
      <c r="G65" s="574"/>
    </row>
    <row r="66" spans="1:8">
      <c r="G66" s="574"/>
    </row>
    <row r="67" spans="1:8">
      <c r="B67" s="180"/>
      <c r="D67" s="819" t="s">
        <v>178</v>
      </c>
      <c r="E67" s="819" t="s">
        <v>341</v>
      </c>
      <c r="F67" s="819" t="s">
        <v>150</v>
      </c>
      <c r="G67" s="819" t="s">
        <v>179</v>
      </c>
      <c r="H67" s="923" t="s">
        <v>177</v>
      </c>
    </row>
    <row r="68" spans="1:8">
      <c r="B68" s="574" t="s">
        <v>404</v>
      </c>
      <c r="D68" s="816" t="s">
        <v>421</v>
      </c>
      <c r="E68" s="816" t="s">
        <v>423</v>
      </c>
      <c r="F68" s="816"/>
      <c r="G68" s="816"/>
    </row>
    <row r="69" spans="1:8">
      <c r="B69" s="181"/>
      <c r="D69" s="816" t="s">
        <v>422</v>
      </c>
      <c r="E69" s="816" t="s">
        <v>402</v>
      </c>
      <c r="F69" s="816" t="s">
        <v>418</v>
      </c>
      <c r="G69" s="816" t="s">
        <v>420</v>
      </c>
      <c r="H69" s="923" t="s">
        <v>126</v>
      </c>
    </row>
    <row r="70" spans="1:8">
      <c r="B70" s="183"/>
      <c r="D70" s="816" t="s">
        <v>419</v>
      </c>
      <c r="E70" s="816" t="s">
        <v>419</v>
      </c>
      <c r="F70" s="816" t="s">
        <v>419</v>
      </c>
      <c r="G70" s="816" t="s">
        <v>419</v>
      </c>
      <c r="H70" s="923" t="s">
        <v>127</v>
      </c>
    </row>
    <row r="71" spans="1:8" ht="25.5">
      <c r="A71" s="727">
        <v>282</v>
      </c>
      <c r="B71" s="723" t="s">
        <v>934</v>
      </c>
      <c r="C71" s="728"/>
      <c r="D71" s="725">
        <f>-587262462-973234-513441-51308</f>
        <v>-588800445</v>
      </c>
      <c r="E71" s="725"/>
      <c r="F71" s="725">
        <f>-1393182959-5125819</f>
        <v>-1398308778</v>
      </c>
      <c r="G71" s="725"/>
      <c r="H71" s="726" t="s">
        <v>906</v>
      </c>
    </row>
    <row r="72" spans="1:8" ht="25.5">
      <c r="A72" s="727">
        <v>282</v>
      </c>
      <c r="B72" s="724" t="s">
        <v>933</v>
      </c>
      <c r="C72" s="724"/>
      <c r="D72" s="725">
        <v>5690568</v>
      </c>
      <c r="E72" s="725"/>
      <c r="F72" s="725"/>
      <c r="G72" s="725"/>
      <c r="H72" s="726" t="s">
        <v>688</v>
      </c>
    </row>
    <row r="73" spans="1:8">
      <c r="A73" s="727"/>
      <c r="B73" s="723"/>
      <c r="C73" s="728"/>
      <c r="D73" s="725"/>
      <c r="E73" s="725"/>
      <c r="F73" s="725"/>
      <c r="G73" s="725"/>
      <c r="H73" s="726"/>
    </row>
    <row r="74" spans="1:8">
      <c r="A74" s="727"/>
      <c r="B74" s="724"/>
      <c r="C74" s="724"/>
      <c r="D74" s="725"/>
      <c r="E74" s="725"/>
      <c r="F74" s="725"/>
      <c r="G74" s="725"/>
      <c r="H74" s="726"/>
    </row>
    <row r="75" spans="1:8">
      <c r="A75" s="727"/>
      <c r="B75" s="724"/>
      <c r="C75" s="724"/>
      <c r="D75" s="725"/>
      <c r="E75" s="725"/>
      <c r="F75" s="725"/>
      <c r="G75" s="725"/>
      <c r="H75" s="726"/>
    </row>
    <row r="76" spans="1:8">
      <c r="A76" s="727"/>
      <c r="B76" s="723"/>
      <c r="C76" s="728"/>
      <c r="D76" s="725"/>
      <c r="E76" s="725"/>
      <c r="F76" s="725"/>
      <c r="G76" s="725"/>
      <c r="H76" s="726"/>
    </row>
    <row r="77" spans="1:8">
      <c r="A77" s="722"/>
      <c r="B77" s="724"/>
      <c r="C77" s="724"/>
      <c r="D77" s="725"/>
      <c r="E77" s="725"/>
      <c r="F77" s="725"/>
      <c r="G77" s="725"/>
      <c r="H77" s="726"/>
    </row>
    <row r="78" spans="1:8">
      <c r="A78" s="722"/>
      <c r="B78" s="724"/>
      <c r="C78" s="724"/>
      <c r="D78" s="725"/>
      <c r="E78" s="725"/>
      <c r="F78" s="725"/>
      <c r="G78" s="725"/>
      <c r="H78" s="726"/>
    </row>
    <row r="79" spans="1:8">
      <c r="A79" s="722"/>
      <c r="B79" s="595"/>
      <c r="C79" s="724"/>
      <c r="D79" s="725"/>
      <c r="E79" s="725"/>
      <c r="F79" s="725"/>
      <c r="G79" s="725"/>
      <c r="H79" s="931"/>
    </row>
    <row r="80" spans="1:8">
      <c r="B80" s="186" t="s">
        <v>69</v>
      </c>
      <c r="D80" s="932">
        <f>SUM(D71:D79)</f>
        <v>-583109877</v>
      </c>
      <c r="E80" s="932">
        <f>SUM(E71:E79)</f>
        <v>0</v>
      </c>
      <c r="F80" s="932">
        <f>SUM(F71:F79)</f>
        <v>-1398308778</v>
      </c>
      <c r="G80" s="932">
        <f>SUM(G71:G79)</f>
        <v>0</v>
      </c>
    </row>
    <row r="81" spans="2:8">
      <c r="B81" s="181" t="s">
        <v>60</v>
      </c>
      <c r="D81" s="928">
        <v>-26848242</v>
      </c>
      <c r="E81" s="928"/>
      <c r="F81" s="928">
        <v>-66374820</v>
      </c>
      <c r="G81" s="928"/>
      <c r="H81" s="593"/>
    </row>
    <row r="82" spans="2:8">
      <c r="B82" s="181" t="s">
        <v>61</v>
      </c>
      <c r="D82" s="928"/>
      <c r="E82" s="928"/>
      <c r="F82" s="928"/>
      <c r="G82" s="928"/>
      <c r="H82" s="593"/>
    </row>
    <row r="83" spans="2:8">
      <c r="B83" s="181" t="s">
        <v>340</v>
      </c>
      <c r="D83" s="932">
        <f>+D80-D81-D82</f>
        <v>-556261635</v>
      </c>
      <c r="E83" s="932">
        <f>+E80-E81-E82</f>
        <v>0</v>
      </c>
      <c r="F83" s="932">
        <f>+F80-F81-F82</f>
        <v>-1331933958</v>
      </c>
      <c r="G83" s="932">
        <f>+G80-G81-G82</f>
        <v>0</v>
      </c>
    </row>
    <row r="84" spans="2:8">
      <c r="B84" s="181"/>
      <c r="D84" s="645"/>
      <c r="E84" s="645"/>
      <c r="F84" s="659"/>
      <c r="G84" s="659"/>
    </row>
    <row r="85" spans="2:8">
      <c r="B85" s="181" t="s">
        <v>426</v>
      </c>
      <c r="D85" s="645"/>
      <c r="E85" s="645"/>
      <c r="F85" s="659"/>
      <c r="G85" s="659"/>
    </row>
    <row r="86" spans="2:8" ht="24" customHeight="1">
      <c r="B86" s="1074" t="s">
        <v>436</v>
      </c>
      <c r="C86" s="1070"/>
      <c r="D86" s="1070"/>
      <c r="E86" s="1070"/>
      <c r="F86" s="1070"/>
      <c r="G86" s="1070"/>
    </row>
    <row r="87" spans="2:8">
      <c r="B87" s="182" t="s">
        <v>427</v>
      </c>
      <c r="D87" s="645"/>
      <c r="E87" s="645"/>
      <c r="F87" s="659"/>
      <c r="G87" s="659"/>
    </row>
    <row r="88" spans="2:8">
      <c r="B88" s="182" t="s">
        <v>428</v>
      </c>
      <c r="D88" s="645"/>
      <c r="E88" s="645"/>
      <c r="F88" s="659"/>
      <c r="G88" s="659"/>
    </row>
    <row r="89" spans="2:8">
      <c r="B89" s="182" t="s">
        <v>429</v>
      </c>
      <c r="D89" s="645"/>
      <c r="E89" s="645"/>
      <c r="F89" s="659"/>
      <c r="G89" s="659"/>
    </row>
    <row r="90" spans="2:8">
      <c r="B90" s="1075" t="str">
        <f>+B60</f>
        <v>5. Since deferred income taxes arise when items are included in taxable income in different periods than they are included in rates - therefore, if the item giving rise to the ADIT is not included in the formula, the associated ADIT amount shall be excluded</v>
      </c>
      <c r="C90" s="1076"/>
      <c r="D90" s="1076"/>
      <c r="E90" s="1076"/>
      <c r="F90" s="1076"/>
      <c r="G90" s="1076"/>
      <c r="H90" s="593"/>
    </row>
    <row r="91" spans="2:8">
      <c r="B91" s="1076"/>
      <c r="C91" s="1076"/>
      <c r="D91" s="1076"/>
      <c r="E91" s="1076"/>
      <c r="F91" s="1076"/>
      <c r="G91" s="1076"/>
    </row>
    <row r="92" spans="2:8">
      <c r="B92" s="182"/>
      <c r="D92" s="645"/>
      <c r="E92" s="645"/>
      <c r="F92" s="659"/>
      <c r="G92" s="659"/>
    </row>
    <row r="93" spans="2:8">
      <c r="B93" s="182"/>
      <c r="D93" s="645"/>
      <c r="E93" s="645"/>
      <c r="F93" s="659"/>
      <c r="G93" s="659"/>
    </row>
    <row r="94" spans="2:8" ht="15.75">
      <c r="B94" s="1073" t="str">
        <f>+B3</f>
        <v>Attachment 1 - Accumulated Deferred Income Taxes (ADIT) Worksheet</v>
      </c>
      <c r="C94" s="1073"/>
      <c r="D94" s="1073"/>
      <c r="E94" s="1073"/>
      <c r="F94" s="1073"/>
      <c r="G94" s="1073"/>
    </row>
    <row r="95" spans="2:8">
      <c r="G95" s="574" t="s">
        <v>433</v>
      </c>
    </row>
    <row r="96" spans="2:8">
      <c r="B96" s="177"/>
      <c r="D96" s="819" t="s">
        <v>178</v>
      </c>
      <c r="E96" s="819" t="s">
        <v>341</v>
      </c>
      <c r="F96" s="819" t="s">
        <v>150</v>
      </c>
      <c r="G96" s="819" t="s">
        <v>179</v>
      </c>
      <c r="H96" s="923" t="s">
        <v>177</v>
      </c>
    </row>
    <row r="97" spans="1:10">
      <c r="D97" s="816" t="s">
        <v>421</v>
      </c>
      <c r="E97" s="816" t="s">
        <v>423</v>
      </c>
      <c r="F97" s="816"/>
      <c r="G97" s="816"/>
    </row>
    <row r="98" spans="1:10">
      <c r="B98" s="574" t="s">
        <v>405</v>
      </c>
      <c r="D98" s="816" t="s">
        <v>422</v>
      </c>
      <c r="E98" s="816" t="s">
        <v>402</v>
      </c>
      <c r="F98" s="816" t="s">
        <v>418</v>
      </c>
      <c r="G98" s="816" t="s">
        <v>420</v>
      </c>
      <c r="H98" s="923" t="s">
        <v>126</v>
      </c>
    </row>
    <row r="99" spans="1:10">
      <c r="D99" s="816" t="s">
        <v>419</v>
      </c>
      <c r="E99" s="816" t="s">
        <v>419</v>
      </c>
      <c r="F99" s="816" t="s">
        <v>419</v>
      </c>
      <c r="G99" s="816" t="s">
        <v>419</v>
      </c>
      <c r="H99" s="923" t="s">
        <v>127</v>
      </c>
    </row>
    <row r="100" spans="1:10" ht="25.5">
      <c r="A100" s="722">
        <v>283</v>
      </c>
      <c r="B100" s="594" t="s">
        <v>878</v>
      </c>
      <c r="C100" s="724"/>
      <c r="D100" s="725">
        <f>-3844508+401438</f>
        <v>-3443070</v>
      </c>
      <c r="E100" s="729"/>
      <c r="F100" s="729"/>
      <c r="G100" s="729"/>
      <c r="H100" s="726" t="s">
        <v>688</v>
      </c>
      <c r="J100" s="660"/>
    </row>
    <row r="101" spans="1:10" ht="25.5">
      <c r="A101" s="722">
        <v>283</v>
      </c>
      <c r="B101" s="594" t="s">
        <v>879</v>
      </c>
      <c r="C101" s="724"/>
      <c r="D101" s="725">
        <f>-62744112-21855591</f>
        <v>-84599703</v>
      </c>
      <c r="E101" s="725"/>
      <c r="F101" s="725"/>
      <c r="G101" s="725"/>
      <c r="H101" s="726" t="s">
        <v>688</v>
      </c>
      <c r="J101" s="660"/>
    </row>
    <row r="102" spans="1:10" ht="25.5">
      <c r="A102" s="722">
        <v>283</v>
      </c>
      <c r="B102" s="595" t="s">
        <v>880</v>
      </c>
      <c r="C102" s="724"/>
      <c r="D102" s="725">
        <f>-1794462</f>
        <v>-1794462</v>
      </c>
      <c r="E102" s="725"/>
      <c r="F102" s="725"/>
      <c r="G102" s="725"/>
      <c r="H102" s="726" t="s">
        <v>688</v>
      </c>
      <c r="J102" s="660"/>
    </row>
    <row r="103" spans="1:10" ht="25.5">
      <c r="A103" s="722">
        <v>283</v>
      </c>
      <c r="B103" s="595" t="s">
        <v>881</v>
      </c>
      <c r="C103" s="724"/>
      <c r="D103" s="725">
        <f>-2177278-2980042</f>
        <v>-5157320</v>
      </c>
      <c r="E103" s="725"/>
      <c r="F103" s="725"/>
      <c r="G103" s="725"/>
      <c r="H103" s="726" t="s">
        <v>688</v>
      </c>
      <c r="J103" s="660"/>
    </row>
    <row r="104" spans="1:10" ht="25.5">
      <c r="A104" s="722">
        <v>283</v>
      </c>
      <c r="B104" s="595" t="s">
        <v>882</v>
      </c>
      <c r="C104" s="724"/>
      <c r="D104" s="725">
        <f>-2808249-17721-10921</f>
        <v>-2836891</v>
      </c>
      <c r="E104" s="725"/>
      <c r="F104" s="725"/>
      <c r="G104" s="725"/>
      <c r="H104" s="726" t="s">
        <v>688</v>
      </c>
      <c r="I104" s="660"/>
      <c r="J104" s="660"/>
    </row>
    <row r="105" spans="1:10" ht="25.5">
      <c r="A105" s="722">
        <v>283</v>
      </c>
      <c r="B105" s="595" t="s">
        <v>905</v>
      </c>
      <c r="C105" s="724"/>
      <c r="D105" s="725">
        <f>-62413376-15771894-9477433-2555756</f>
        <v>-90218459</v>
      </c>
      <c r="E105" s="725"/>
      <c r="F105" s="725"/>
      <c r="G105" s="729"/>
      <c r="H105" s="726" t="s">
        <v>688</v>
      </c>
    </row>
    <row r="106" spans="1:10" ht="25.5">
      <c r="A106" s="722">
        <v>283</v>
      </c>
      <c r="B106" s="595" t="s">
        <v>883</v>
      </c>
      <c r="C106" s="724"/>
      <c r="D106" s="725">
        <f>3-186975</f>
        <v>-186972</v>
      </c>
      <c r="E106" s="725"/>
      <c r="F106" s="725"/>
      <c r="G106" s="729"/>
      <c r="H106" s="726" t="s">
        <v>688</v>
      </c>
    </row>
    <row r="107" spans="1:10" ht="25.5">
      <c r="A107" s="722">
        <v>283</v>
      </c>
      <c r="B107" s="595" t="s">
        <v>884</v>
      </c>
      <c r="C107" s="724"/>
      <c r="D107" s="725">
        <v>0</v>
      </c>
      <c r="E107" s="725"/>
      <c r="F107" s="725"/>
      <c r="G107" s="729"/>
      <c r="H107" s="726" t="s">
        <v>688</v>
      </c>
    </row>
    <row r="108" spans="1:10" ht="25.5">
      <c r="A108" s="722">
        <v>283</v>
      </c>
      <c r="B108" s="595" t="s">
        <v>885</v>
      </c>
      <c r="C108" s="724"/>
      <c r="D108" s="725">
        <v>0</v>
      </c>
      <c r="E108" s="725"/>
      <c r="F108" s="725"/>
      <c r="G108" s="729"/>
      <c r="H108" s="726" t="s">
        <v>688</v>
      </c>
    </row>
    <row r="109" spans="1:10" ht="17.45" customHeight="1">
      <c r="A109" s="722">
        <v>283</v>
      </c>
      <c r="B109" s="595" t="s">
        <v>886</v>
      </c>
      <c r="C109" s="724"/>
      <c r="D109" s="725">
        <f>-2559823-483005+811299</f>
        <v>-2231529</v>
      </c>
      <c r="E109" s="725"/>
      <c r="F109" s="725"/>
      <c r="G109" s="729"/>
      <c r="H109" s="726" t="s">
        <v>220</v>
      </c>
    </row>
    <row r="110" spans="1:10" ht="25.5">
      <c r="A110" s="722">
        <v>283</v>
      </c>
      <c r="B110" s="595" t="s">
        <v>887</v>
      </c>
      <c r="C110" s="724"/>
      <c r="D110" s="725">
        <f>-9056837-1</f>
        <v>-9056838</v>
      </c>
      <c r="E110" s="725"/>
      <c r="F110" s="725"/>
      <c r="G110" s="729"/>
      <c r="H110" s="726" t="s">
        <v>688</v>
      </c>
      <c r="I110" s="660"/>
      <c r="J110" s="660"/>
    </row>
    <row r="111" spans="1:10" ht="25.5">
      <c r="A111" s="722">
        <v>283</v>
      </c>
      <c r="B111" s="595" t="s">
        <v>888</v>
      </c>
      <c r="C111" s="724"/>
      <c r="D111" s="725">
        <f>-310927+1</f>
        <v>-310926</v>
      </c>
      <c r="E111" s="725"/>
      <c r="F111" s="725"/>
      <c r="G111" s="729"/>
      <c r="H111" s="726" t="s">
        <v>688</v>
      </c>
    </row>
    <row r="112" spans="1:10" ht="25.5">
      <c r="A112" s="722">
        <v>283</v>
      </c>
      <c r="B112" s="595" t="s">
        <v>889</v>
      </c>
      <c r="C112" s="724"/>
      <c r="D112" s="725">
        <f>-2175519-1</f>
        <v>-2175520</v>
      </c>
      <c r="E112" s="725"/>
      <c r="F112" s="725"/>
      <c r="G112" s="729"/>
      <c r="H112" s="726" t="s">
        <v>688</v>
      </c>
    </row>
    <row r="113" spans="1:10" ht="25.5">
      <c r="A113" s="722">
        <v>283</v>
      </c>
      <c r="B113" s="595" t="s">
        <v>890</v>
      </c>
      <c r="C113" s="724"/>
      <c r="D113" s="725">
        <v>0</v>
      </c>
      <c r="E113" s="725"/>
      <c r="F113" s="725"/>
      <c r="G113" s="729"/>
      <c r="H113" s="726" t="s">
        <v>688</v>
      </c>
    </row>
    <row r="114" spans="1:10" ht="25.5">
      <c r="A114" s="722">
        <v>283</v>
      </c>
      <c r="B114" s="595" t="s">
        <v>891</v>
      </c>
      <c r="C114" s="724"/>
      <c r="D114" s="725">
        <f>-1236488-3606689</f>
        <v>-4843177</v>
      </c>
      <c r="E114" s="725"/>
      <c r="F114" s="725"/>
      <c r="G114" s="729"/>
      <c r="H114" s="726" t="s">
        <v>688</v>
      </c>
    </row>
    <row r="115" spans="1:10" ht="25.5">
      <c r="A115" s="722">
        <v>283</v>
      </c>
      <c r="B115" s="595" t="s">
        <v>892</v>
      </c>
      <c r="C115" s="724"/>
      <c r="D115" s="725">
        <f>-2098133-877501</f>
        <v>-2975634</v>
      </c>
      <c r="E115" s="725"/>
      <c r="F115" s="725"/>
      <c r="G115" s="729"/>
      <c r="H115" s="726" t="s">
        <v>688</v>
      </c>
    </row>
    <row r="116" spans="1:10" ht="25.5">
      <c r="A116" s="722">
        <v>283</v>
      </c>
      <c r="B116" s="595" t="s">
        <v>893</v>
      </c>
      <c r="C116" s="724"/>
      <c r="D116" s="725">
        <f>-121637-102462</f>
        <v>-224099</v>
      </c>
      <c r="E116" s="725"/>
      <c r="F116" s="725"/>
      <c r="G116" s="729"/>
      <c r="H116" s="726" t="s">
        <v>688</v>
      </c>
    </row>
    <row r="117" spans="1:10" ht="25.5">
      <c r="A117" s="722">
        <v>283</v>
      </c>
      <c r="B117" s="595" t="s">
        <v>894</v>
      </c>
      <c r="C117" s="724"/>
      <c r="D117" s="725">
        <v>128131</v>
      </c>
      <c r="E117" s="725"/>
      <c r="F117" s="725"/>
      <c r="G117" s="729"/>
      <c r="H117" s="726" t="s">
        <v>688</v>
      </c>
    </row>
    <row r="118" spans="1:10" ht="25.5">
      <c r="A118" s="722">
        <v>283</v>
      </c>
      <c r="B118" s="595" t="s">
        <v>895</v>
      </c>
      <c r="C118" s="724"/>
      <c r="D118" s="725">
        <f>-1068835-416174</f>
        <v>-1485009</v>
      </c>
      <c r="E118" s="725"/>
      <c r="F118" s="725"/>
      <c r="G118" s="729"/>
      <c r="H118" s="726" t="s">
        <v>688</v>
      </c>
    </row>
    <row r="119" spans="1:10" ht="25.5">
      <c r="A119" s="722">
        <v>283</v>
      </c>
      <c r="B119" s="595" t="s">
        <v>896</v>
      </c>
      <c r="C119" s="724"/>
      <c r="D119" s="725">
        <v>-67407</v>
      </c>
      <c r="E119" s="725"/>
      <c r="F119" s="725"/>
      <c r="G119" s="729"/>
      <c r="H119" s="726" t="s">
        <v>688</v>
      </c>
      <c r="I119" s="660"/>
      <c r="J119" s="660"/>
    </row>
    <row r="120" spans="1:10" ht="25.5">
      <c r="A120" s="722">
        <v>283</v>
      </c>
      <c r="B120" s="595" t="s">
        <v>897</v>
      </c>
      <c r="C120" s="724"/>
      <c r="D120" s="725">
        <f>-50630+110848</f>
        <v>60218</v>
      </c>
      <c r="E120" s="725"/>
      <c r="F120" s="725"/>
      <c r="G120" s="729"/>
      <c r="H120" s="726" t="s">
        <v>688</v>
      </c>
    </row>
    <row r="121" spans="1:10" ht="25.5">
      <c r="A121" s="722">
        <v>283</v>
      </c>
      <c r="B121" s="595" t="s">
        <v>907</v>
      </c>
      <c r="C121" s="724"/>
      <c r="D121" s="725">
        <v>544666</v>
      </c>
      <c r="E121" s="725"/>
      <c r="F121" s="725"/>
      <c r="G121" s="729"/>
      <c r="H121" s="726" t="s">
        <v>688</v>
      </c>
    </row>
    <row r="122" spans="1:10" ht="25.5">
      <c r="A122" s="722">
        <v>283</v>
      </c>
      <c r="B122" s="595" t="s">
        <v>908</v>
      </c>
      <c r="C122" s="724"/>
      <c r="D122" s="725">
        <v>-136644</v>
      </c>
      <c r="E122" s="725"/>
      <c r="F122" s="725"/>
      <c r="G122" s="729"/>
      <c r="H122" s="726" t="s">
        <v>688</v>
      </c>
    </row>
    <row r="123" spans="1:10" ht="25.5">
      <c r="A123" s="722">
        <v>283</v>
      </c>
      <c r="B123" s="595" t="s">
        <v>898</v>
      </c>
      <c r="C123" s="724"/>
      <c r="D123" s="725">
        <f>-3237741</f>
        <v>-3237741</v>
      </c>
      <c r="E123" s="725"/>
      <c r="F123" s="725"/>
      <c r="G123" s="729"/>
      <c r="H123" s="726" t="s">
        <v>688</v>
      </c>
    </row>
    <row r="124" spans="1:10" ht="25.5">
      <c r="A124" s="722">
        <v>283</v>
      </c>
      <c r="B124" s="595" t="s">
        <v>899</v>
      </c>
      <c r="C124" s="724"/>
      <c r="D124" s="725">
        <v>0</v>
      </c>
      <c r="E124" s="725"/>
      <c r="F124" s="725"/>
      <c r="G124" s="729"/>
      <c r="H124" s="726" t="s">
        <v>688</v>
      </c>
    </row>
    <row r="125" spans="1:10" ht="51">
      <c r="A125" s="722">
        <v>283</v>
      </c>
      <c r="B125" s="595" t="s">
        <v>900</v>
      </c>
      <c r="C125" s="724"/>
      <c r="D125" s="725">
        <f>-74763-410142</f>
        <v>-484905</v>
      </c>
      <c r="E125" s="725"/>
      <c r="F125" s="725">
        <v>-194627</v>
      </c>
      <c r="G125" s="729"/>
      <c r="H125" s="726" t="s">
        <v>901</v>
      </c>
      <c r="I125" s="660"/>
      <c r="J125" s="660"/>
    </row>
    <row r="126" spans="1:10" ht="51">
      <c r="A126" s="722">
        <v>283</v>
      </c>
      <c r="B126" s="595" t="s">
        <v>902</v>
      </c>
      <c r="C126" s="724"/>
      <c r="D126" s="725">
        <v>-18</v>
      </c>
      <c r="E126" s="725"/>
      <c r="F126" s="725">
        <v>18</v>
      </c>
      <c r="G126" s="729"/>
      <c r="H126" s="726" t="s">
        <v>901</v>
      </c>
      <c r="I126" s="660"/>
      <c r="J126" s="660"/>
    </row>
    <row r="127" spans="1:10" ht="51">
      <c r="A127" s="722">
        <v>283</v>
      </c>
      <c r="B127" s="595" t="s">
        <v>903</v>
      </c>
      <c r="C127" s="724"/>
      <c r="D127" s="725">
        <f>-20334022-F127</f>
        <v>-5032068</v>
      </c>
      <c r="E127" s="725"/>
      <c r="F127" s="725">
        <v>-15301954</v>
      </c>
      <c r="G127" s="729"/>
      <c r="H127" s="726" t="s">
        <v>901</v>
      </c>
      <c r="J127" s="660"/>
    </row>
    <row r="128" spans="1:10" ht="25.5">
      <c r="A128" s="722">
        <v>283</v>
      </c>
      <c r="B128" s="595" t="s">
        <v>909</v>
      </c>
      <c r="C128" s="724"/>
      <c r="D128" s="725">
        <v>99862</v>
      </c>
      <c r="E128" s="725"/>
      <c r="F128" s="725"/>
      <c r="G128" s="729"/>
      <c r="H128" s="726" t="s">
        <v>688</v>
      </c>
      <c r="I128" s="660"/>
      <c r="J128" s="660"/>
    </row>
    <row r="129" spans="1:10" ht="25.5">
      <c r="A129" s="722">
        <v>283</v>
      </c>
      <c r="B129" s="594" t="s">
        <v>958</v>
      </c>
      <c r="C129" s="724"/>
      <c r="D129" s="725">
        <v>791227</v>
      </c>
      <c r="E129" s="725"/>
      <c r="F129" s="725"/>
      <c r="G129" s="729"/>
      <c r="H129" s="726" t="s">
        <v>688</v>
      </c>
      <c r="I129" s="660"/>
      <c r="J129" s="660"/>
    </row>
    <row r="130" spans="1:10" ht="26.45" customHeight="1">
      <c r="A130" s="722">
        <v>283</v>
      </c>
      <c r="B130" s="595" t="s">
        <v>904</v>
      </c>
      <c r="C130" s="724"/>
      <c r="D130" s="725">
        <f>-10836492-3883220+2</f>
        <v>-14719710</v>
      </c>
      <c r="E130" s="725"/>
      <c r="F130" s="725">
        <f>(-45481563)*0.94</f>
        <v>-42752669.219999999</v>
      </c>
      <c r="G130" s="725">
        <f>(-45481563)*0.06</f>
        <v>-2728893.78</v>
      </c>
      <c r="H130" s="726" t="s">
        <v>994</v>
      </c>
    </row>
    <row r="131" spans="1:10">
      <c r="A131" s="722"/>
      <c r="B131" s="594"/>
      <c r="C131" s="724"/>
      <c r="D131" s="729"/>
      <c r="E131" s="729"/>
      <c r="F131" s="729"/>
      <c r="G131" s="729"/>
      <c r="H131" s="931"/>
    </row>
    <row r="132" spans="1:10">
      <c r="B132" s="186" t="s">
        <v>68</v>
      </c>
      <c r="D132" s="934">
        <f>SUM(D100:D131)</f>
        <v>-233593998</v>
      </c>
      <c r="E132" s="934">
        <f>SUM(E100:E131)</f>
        <v>0</v>
      </c>
      <c r="F132" s="934">
        <f>SUM(F100:F131)</f>
        <v>-58249232.219999999</v>
      </c>
      <c r="G132" s="934">
        <f>SUM(G100:G131)</f>
        <v>-2728893.78</v>
      </c>
      <c r="H132" s="1022"/>
    </row>
    <row r="133" spans="1:10">
      <c r="B133" s="181" t="s">
        <v>60</v>
      </c>
      <c r="D133" s="935"/>
      <c r="E133" s="935"/>
      <c r="F133" s="935"/>
      <c r="G133" s="935"/>
      <c r="H133" s="593"/>
    </row>
    <row r="134" spans="1:10">
      <c r="B134" s="181" t="s">
        <v>61</v>
      </c>
      <c r="D134" s="935"/>
      <c r="E134" s="935"/>
      <c r="F134" s="935"/>
      <c r="G134" s="935"/>
      <c r="H134" s="1021">
        <f>+H133+H132</f>
        <v>0</v>
      </c>
    </row>
    <row r="135" spans="1:10">
      <c r="B135" s="181" t="s">
        <v>340</v>
      </c>
      <c r="D135" s="934">
        <f>+D132-D133-D134</f>
        <v>-233593998</v>
      </c>
      <c r="E135" s="934">
        <f>+E132-E133-E134</f>
        <v>0</v>
      </c>
      <c r="F135" s="934">
        <f>+F132-F133-F134</f>
        <v>-58249232.219999999</v>
      </c>
      <c r="G135" s="934">
        <f>+G132-G133-G134</f>
        <v>-2728893.78</v>
      </c>
      <c r="H135" s="1023"/>
    </row>
    <row r="136" spans="1:10">
      <c r="B136" s="181"/>
      <c r="D136" s="932"/>
      <c r="E136" s="932"/>
      <c r="F136" s="932"/>
      <c r="G136" s="932"/>
      <c r="H136" s="1023"/>
    </row>
    <row r="137" spans="1:10">
      <c r="B137" s="181" t="s">
        <v>425</v>
      </c>
      <c r="D137" s="932">
        <f>SUM(D100:D129)</f>
        <v>-218874288</v>
      </c>
      <c r="E137" s="645"/>
      <c r="F137" s="932">
        <f t="shared" ref="F137:G137" si="0">SUM(F100:F129)</f>
        <v>-15496563</v>
      </c>
      <c r="G137" s="932">
        <f t="shared" si="0"/>
        <v>0</v>
      </c>
    </row>
    <row r="138" spans="1:10" ht="25.5" customHeight="1">
      <c r="B138" s="1074" t="s">
        <v>436</v>
      </c>
      <c r="C138" s="1070"/>
      <c r="D138" s="1070"/>
      <c r="E138" s="1070"/>
      <c r="F138" s="1070"/>
      <c r="G138" s="1070"/>
    </row>
    <row r="139" spans="1:10">
      <c r="B139" s="182" t="s">
        <v>427</v>
      </c>
      <c r="D139" s="645"/>
      <c r="E139" s="645"/>
      <c r="F139" s="1055"/>
      <c r="G139" s="1055"/>
    </row>
    <row r="140" spans="1:10">
      <c r="B140" s="182" t="s">
        <v>428</v>
      </c>
      <c r="D140" s="645"/>
      <c r="E140" s="645"/>
      <c r="F140" s="1055"/>
      <c r="G140" s="1055"/>
    </row>
    <row r="141" spans="1:10">
      <c r="B141" s="182" t="s">
        <v>429</v>
      </c>
    </row>
    <row r="142" spans="1:10">
      <c r="B142" s="1075" t="str">
        <f>+B90</f>
        <v>5. Since deferred income taxes arise when items are included in taxable income in different periods than they are included in rates - therefore, if the item giving rise to the ADIT is not included in the formula, the associated ADIT amount shall be excluded</v>
      </c>
      <c r="C142" s="1076"/>
      <c r="D142" s="1076"/>
      <c r="E142" s="1076"/>
      <c r="F142" s="1076"/>
      <c r="G142" s="1076"/>
      <c r="H142" s="593"/>
    </row>
    <row r="143" spans="1:10">
      <c r="B143" s="1076"/>
      <c r="C143" s="1076"/>
      <c r="D143" s="1076"/>
      <c r="E143" s="1076"/>
      <c r="F143" s="1076"/>
      <c r="G143" s="1076"/>
    </row>
    <row r="144" spans="1:10">
      <c r="B144" s="182"/>
    </row>
    <row r="147" spans="1:9">
      <c r="A147" s="1069" t="s">
        <v>644</v>
      </c>
      <c r="B147" s="1070"/>
      <c r="C147" s="1070"/>
      <c r="D147" s="1070"/>
      <c r="E147" s="1070"/>
      <c r="F147" s="1070"/>
      <c r="G147" s="1070"/>
      <c r="H147" s="1070"/>
      <c r="I147" s="1070"/>
    </row>
    <row r="148" spans="1:9">
      <c r="A148" s="627"/>
    </row>
    <row r="149" spans="1:9">
      <c r="A149" s="627"/>
    </row>
    <row r="150" spans="1:9">
      <c r="A150" s="627"/>
    </row>
    <row r="151" spans="1:9" ht="15">
      <c r="A151" s="585" t="s">
        <v>645</v>
      </c>
      <c r="D151" s="586"/>
      <c r="E151" s="586"/>
      <c r="F151" s="586"/>
      <c r="G151" s="586"/>
      <c r="H151" s="936"/>
      <c r="I151" s="730"/>
    </row>
    <row r="152" spans="1:9" ht="15">
      <c r="A152" s="585"/>
      <c r="D152" s="587"/>
      <c r="E152" s="587"/>
      <c r="F152" s="586"/>
      <c r="G152" s="586"/>
      <c r="H152" s="936"/>
      <c r="I152" s="730"/>
    </row>
    <row r="153" spans="1:9">
      <c r="C153" s="627" t="s">
        <v>646</v>
      </c>
      <c r="E153" s="627" t="s">
        <v>608</v>
      </c>
      <c r="F153" s="627" t="s">
        <v>647</v>
      </c>
    </row>
    <row r="154" spans="1:9">
      <c r="B154" s="925"/>
    </row>
    <row r="155" spans="1:9" ht="13.5" thickBot="1">
      <c r="A155" s="925">
        <v>1</v>
      </c>
      <c r="B155" s="627" t="s">
        <v>648</v>
      </c>
      <c r="E155" s="627">
        <v>0</v>
      </c>
    </row>
    <row r="156" spans="1:9" ht="13.5" thickBot="1">
      <c r="A156" s="925">
        <v>2</v>
      </c>
      <c r="B156" s="627" t="s">
        <v>649</v>
      </c>
      <c r="C156" s="627" t="s">
        <v>340</v>
      </c>
      <c r="E156" s="937"/>
      <c r="F156" s="938"/>
    </row>
    <row r="157" spans="1:9">
      <c r="E157" s="924"/>
      <c r="F157" s="924"/>
    </row>
    <row r="158" spans="1:9" ht="13.5" thickBot="1">
      <c r="A158" s="925">
        <v>3</v>
      </c>
      <c r="B158" s="627" t="s">
        <v>647</v>
      </c>
      <c r="E158" s="924"/>
      <c r="F158" s="924"/>
    </row>
    <row r="159" spans="1:9" ht="13.5" thickBot="1">
      <c r="A159" s="925">
        <v>4</v>
      </c>
      <c r="B159" s="627" t="s">
        <v>771</v>
      </c>
      <c r="C159" s="627" t="s">
        <v>340</v>
      </c>
      <c r="E159" s="938">
        <v>946083</v>
      </c>
      <c r="F159" s="937">
        <v>258056</v>
      </c>
    </row>
    <row r="160" spans="1:9">
      <c r="E160" s="924"/>
      <c r="F160" s="924"/>
    </row>
    <row r="161" spans="1:6">
      <c r="A161" s="925">
        <v>5</v>
      </c>
      <c r="B161" s="627" t="s">
        <v>340</v>
      </c>
      <c r="E161" s="924">
        <f>+E159+E156</f>
        <v>946083</v>
      </c>
      <c r="F161" s="924">
        <f>+F159+F156</f>
        <v>258056</v>
      </c>
    </row>
    <row r="162" spans="1:6">
      <c r="E162" s="924"/>
      <c r="F162" s="924"/>
    </row>
    <row r="163" spans="1:6">
      <c r="A163" s="925">
        <v>6</v>
      </c>
      <c r="B163" s="627" t="s">
        <v>650</v>
      </c>
      <c r="C163" s="627" t="s">
        <v>156</v>
      </c>
      <c r="E163" s="938">
        <v>946083</v>
      </c>
      <c r="F163" s="938">
        <v>258056</v>
      </c>
    </row>
    <row r="164" spans="1:6">
      <c r="A164" s="627"/>
      <c r="E164" s="924"/>
      <c r="F164" s="924"/>
    </row>
    <row r="165" spans="1:6">
      <c r="A165" s="925">
        <v>7</v>
      </c>
      <c r="B165" s="627" t="s">
        <v>651</v>
      </c>
      <c r="E165" s="924">
        <f>+E161-E163</f>
        <v>0</v>
      </c>
      <c r="F165" s="924">
        <f>+F161-F163</f>
        <v>0</v>
      </c>
    </row>
    <row r="166" spans="1:6">
      <c r="A166" s="627"/>
    </row>
    <row r="167" spans="1:6">
      <c r="A167" s="925">
        <v>8</v>
      </c>
      <c r="B167" s="627" t="s">
        <v>652</v>
      </c>
    </row>
  </sheetData>
  <mergeCells count="12">
    <mergeCell ref="A147:I147"/>
    <mergeCell ref="A1:G1"/>
    <mergeCell ref="B3:G3"/>
    <mergeCell ref="B24:G24"/>
    <mergeCell ref="B56:G56"/>
    <mergeCell ref="B60:G61"/>
    <mergeCell ref="B63:G63"/>
    <mergeCell ref="B86:G86"/>
    <mergeCell ref="B90:G91"/>
    <mergeCell ref="B94:G94"/>
    <mergeCell ref="B138:G138"/>
    <mergeCell ref="B142:G143"/>
  </mergeCells>
  <phoneticPr fontId="0" type="noConversion"/>
  <pageMargins left="1" right="0.5" top="1.5" bottom="0.5" header="0.5" footer="0.5"/>
  <pageSetup scale="45" fitToHeight="7" orientation="portrait" r:id="rId1"/>
  <headerFooter alignWithMargins="0">
    <oddHeader>&amp;R&amp;"Times New Roman,Bold"&amp;18Appendix A
Page &amp;P of &amp;N</oddHeader>
  </headerFooter>
  <rowBreaks count="2" manualBreakCount="2">
    <brk id="62"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
  <sheetViews>
    <sheetView zoomScaleNormal="100" workbookViewId="0">
      <selection activeCell="E61" sqref="E61"/>
    </sheetView>
  </sheetViews>
  <sheetFormatPr defaultColWidth="9.140625" defaultRowHeight="12.75"/>
  <cols>
    <col min="1" max="2" width="4.7109375" style="627" customWidth="1"/>
    <col min="3" max="3" width="46.85546875" style="627" bestFit="1" customWidth="1"/>
    <col min="4" max="4" width="10.140625" style="627" bestFit="1" customWidth="1"/>
    <col min="5" max="5" width="15" style="939" bestFit="1" customWidth="1"/>
    <col min="6" max="6" width="15.28515625" style="627" customWidth="1"/>
    <col min="7" max="7" width="12" style="627" bestFit="1" customWidth="1"/>
    <col min="8" max="16384" width="9.140625" style="627"/>
  </cols>
  <sheetData>
    <row r="1" spans="1:10" ht="18">
      <c r="A1" s="1071" t="str">
        <f>+'ATT H-2A'!A4</f>
        <v>Baltimore Gas and Electric Company</v>
      </c>
      <c r="B1" s="1071"/>
      <c r="C1" s="1071"/>
      <c r="D1" s="1071"/>
      <c r="E1" s="1071"/>
      <c r="F1" s="1071"/>
      <c r="G1" s="1071"/>
      <c r="H1" s="1070"/>
    </row>
    <row r="2" spans="1:10">
      <c r="A2" s="187"/>
    </row>
    <row r="3" spans="1:10" ht="15.75">
      <c r="A3" s="1073" t="s">
        <v>48</v>
      </c>
      <c r="B3" s="1077"/>
      <c r="C3" s="1077"/>
      <c r="D3" s="1077"/>
      <c r="E3" s="1077"/>
      <c r="F3" s="1070"/>
      <c r="G3" s="1070"/>
      <c r="H3" s="1070"/>
    </row>
    <row r="5" spans="1:10">
      <c r="D5" s="188"/>
    </row>
    <row r="7" spans="1:10">
      <c r="D7" s="816"/>
      <c r="E7" s="940" t="s">
        <v>438</v>
      </c>
      <c r="F7" s="816"/>
      <c r="G7" s="816" t="s">
        <v>447</v>
      </c>
      <c r="H7" s="816"/>
    </row>
    <row r="8" spans="1:10">
      <c r="A8" s="574" t="s">
        <v>198</v>
      </c>
      <c r="B8" s="574"/>
      <c r="D8" s="816"/>
      <c r="E8" s="940" t="s">
        <v>439</v>
      </c>
      <c r="F8" s="816" t="s">
        <v>365</v>
      </c>
      <c r="G8" s="816" t="s">
        <v>448</v>
      </c>
      <c r="H8" s="816"/>
    </row>
    <row r="9" spans="1:10">
      <c r="A9" s="574"/>
      <c r="B9" s="574"/>
      <c r="D9" s="816"/>
      <c r="E9" s="941"/>
      <c r="F9" s="816"/>
      <c r="G9" s="816"/>
      <c r="H9" s="816"/>
    </row>
    <row r="10" spans="1:10">
      <c r="A10" s="574"/>
      <c r="B10" s="574"/>
      <c r="D10" s="816"/>
      <c r="E10" s="941"/>
      <c r="F10" s="816"/>
      <c r="G10" s="816"/>
      <c r="H10" s="816"/>
    </row>
    <row r="11" spans="1:10">
      <c r="D11" s="816"/>
      <c r="E11" s="941"/>
      <c r="G11" s="816"/>
      <c r="H11" s="819"/>
    </row>
    <row r="12" spans="1:10">
      <c r="B12" s="574" t="s">
        <v>437</v>
      </c>
      <c r="D12" s="816"/>
      <c r="E12" s="942"/>
      <c r="F12" s="750" t="s">
        <v>152</v>
      </c>
      <c r="G12" s="816"/>
      <c r="H12" s="819"/>
    </row>
    <row r="13" spans="1:10">
      <c r="D13" s="816"/>
      <c r="E13" s="942"/>
      <c r="F13" s="816"/>
      <c r="G13" s="816"/>
      <c r="H13" s="819"/>
    </row>
    <row r="14" spans="1:10" ht="12.75" customHeight="1">
      <c r="B14" s="627">
        <v>1</v>
      </c>
      <c r="C14" s="943" t="s">
        <v>500</v>
      </c>
      <c r="D14" s="944"/>
      <c r="E14" s="945">
        <v>8201018</v>
      </c>
      <c r="F14" s="944"/>
      <c r="G14" s="944"/>
      <c r="I14" s="645"/>
      <c r="J14" s="645"/>
    </row>
    <row r="15" spans="1:10" ht="12.75" customHeight="1">
      <c r="B15" s="627">
        <f>+B14+1</f>
        <v>2</v>
      </c>
      <c r="C15" s="943" t="s">
        <v>406</v>
      </c>
      <c r="D15" s="944"/>
      <c r="E15" s="945"/>
      <c r="F15" s="944"/>
      <c r="G15" s="944"/>
      <c r="H15" s="944"/>
      <c r="I15" s="645"/>
      <c r="J15" s="645"/>
    </row>
    <row r="16" spans="1:10" ht="12.75" customHeight="1">
      <c r="B16" s="627">
        <f>+B15+1</f>
        <v>3</v>
      </c>
      <c r="C16" s="930" t="s">
        <v>412</v>
      </c>
      <c r="D16" s="944"/>
      <c r="E16" s="945">
        <v>84787103</v>
      </c>
      <c r="F16" s="944"/>
      <c r="G16" s="944"/>
      <c r="H16" s="944"/>
      <c r="I16" s="645"/>
      <c r="J16" s="645"/>
    </row>
    <row r="17" spans="2:10" ht="12.75" customHeight="1">
      <c r="B17" s="627">
        <f>+B16+1</f>
        <v>4</v>
      </c>
      <c r="C17" s="930" t="s">
        <v>440</v>
      </c>
      <c r="D17" s="944"/>
      <c r="E17" s="945"/>
      <c r="F17" s="944"/>
      <c r="G17" s="944"/>
      <c r="H17" s="944"/>
      <c r="I17" s="645"/>
      <c r="J17" s="645"/>
    </row>
    <row r="18" spans="2:10" ht="12.75" customHeight="1">
      <c r="B18" s="627">
        <f>+B17+1</f>
        <v>5</v>
      </c>
      <c r="C18" s="930" t="s">
        <v>411</v>
      </c>
      <c r="D18" s="944"/>
      <c r="E18" s="945"/>
      <c r="F18" s="944"/>
      <c r="G18" s="944"/>
      <c r="H18" s="944"/>
      <c r="I18" s="645"/>
      <c r="J18" s="645"/>
    </row>
    <row r="19" spans="2:10" ht="12.75" customHeight="1">
      <c r="B19" s="627">
        <f>+B18+1</f>
        <v>6</v>
      </c>
      <c r="C19" s="930" t="s">
        <v>413</v>
      </c>
      <c r="D19" s="944"/>
      <c r="E19" s="945"/>
      <c r="F19" s="944"/>
      <c r="G19" s="944"/>
      <c r="H19" s="944"/>
      <c r="I19" s="645"/>
      <c r="J19" s="645"/>
    </row>
    <row r="20" spans="2:10" ht="12.75" customHeight="1">
      <c r="C20" s="930"/>
      <c r="D20" s="944"/>
      <c r="E20" s="945"/>
      <c r="F20" s="944"/>
      <c r="G20" s="944"/>
      <c r="H20" s="944"/>
      <c r="I20" s="645"/>
      <c r="J20" s="645"/>
    </row>
    <row r="21" spans="2:10" ht="12.75" customHeight="1">
      <c r="C21" s="930"/>
      <c r="D21" s="944"/>
      <c r="E21" s="945"/>
      <c r="F21" s="944"/>
      <c r="G21" s="944"/>
      <c r="H21" s="944"/>
      <c r="I21" s="645"/>
      <c r="J21" s="645"/>
    </row>
    <row r="22" spans="2:10" ht="12.75" customHeight="1">
      <c r="B22" s="574" t="s">
        <v>443</v>
      </c>
      <c r="D22" s="944"/>
      <c r="E22" s="946">
        <f>SUM(E14:E21)</f>
        <v>92988121</v>
      </c>
      <c r="F22" s="947">
        <f>+'ATT H-2A'!H32</f>
        <v>0.20420825967620285</v>
      </c>
      <c r="G22" s="948">
        <f>+F22*E22</f>
        <v>18988942.359970171</v>
      </c>
      <c r="H22" s="944"/>
      <c r="I22" s="645"/>
      <c r="J22" s="645"/>
    </row>
    <row r="23" spans="2:10" ht="12.75" customHeight="1">
      <c r="D23" s="944"/>
      <c r="E23" s="946"/>
      <c r="F23" s="944"/>
      <c r="G23" s="944"/>
      <c r="H23" s="944"/>
      <c r="I23" s="645"/>
      <c r="J23" s="645"/>
    </row>
    <row r="24" spans="2:10" ht="12.75" customHeight="1">
      <c r="D24" s="944"/>
      <c r="E24" s="946"/>
      <c r="F24" s="944"/>
      <c r="G24" s="944"/>
      <c r="H24" s="944"/>
      <c r="I24" s="645"/>
      <c r="J24" s="645"/>
    </row>
    <row r="25" spans="2:10" ht="12.75" customHeight="1">
      <c r="B25" s="574" t="s">
        <v>441</v>
      </c>
      <c r="D25" s="944"/>
      <c r="E25" s="946"/>
      <c r="F25" s="949" t="s">
        <v>312</v>
      </c>
      <c r="G25" s="944"/>
      <c r="H25" s="944"/>
      <c r="I25" s="645"/>
      <c r="J25" s="645"/>
    </row>
    <row r="26" spans="2:10" ht="12.75" customHeight="1">
      <c r="B26" s="574"/>
      <c r="D26" s="944"/>
      <c r="G26" s="944"/>
      <c r="H26" s="944"/>
      <c r="I26" s="645"/>
      <c r="J26" s="645"/>
    </row>
    <row r="27" spans="2:10" ht="12.75" customHeight="1">
      <c r="D27" s="944"/>
      <c r="E27" s="946"/>
      <c r="F27" s="944"/>
      <c r="G27" s="944"/>
      <c r="H27" s="944"/>
      <c r="I27" s="645"/>
      <c r="J27" s="645"/>
    </row>
    <row r="28" spans="2:10" ht="12.75" customHeight="1">
      <c r="B28" s="627">
        <f>+B19+1</f>
        <v>7</v>
      </c>
      <c r="C28" s="930" t="s">
        <v>87</v>
      </c>
      <c r="D28" s="950"/>
      <c r="E28" s="945">
        <f>9740475+2086853</f>
        <v>11827328</v>
      </c>
      <c r="F28" s="950"/>
      <c r="G28" s="950"/>
      <c r="H28" s="950"/>
      <c r="I28" s="645"/>
      <c r="J28" s="645"/>
    </row>
    <row r="29" spans="2:10">
      <c r="B29" s="627">
        <f>+B28+1</f>
        <v>8</v>
      </c>
      <c r="C29" s="930" t="s">
        <v>408</v>
      </c>
      <c r="E29" s="945">
        <f>109779+149830</f>
        <v>259609</v>
      </c>
      <c r="I29" s="645"/>
      <c r="J29" s="645"/>
    </row>
    <row r="30" spans="2:10">
      <c r="C30" s="930"/>
      <c r="E30" s="935"/>
      <c r="I30" s="645"/>
      <c r="J30" s="645"/>
    </row>
    <row r="31" spans="2:10">
      <c r="C31" s="930"/>
      <c r="E31" s="935"/>
      <c r="I31" s="645"/>
      <c r="J31" s="645"/>
    </row>
    <row r="32" spans="2:10">
      <c r="C32" s="930"/>
      <c r="E32" s="935"/>
      <c r="I32" s="645"/>
      <c r="J32" s="645"/>
    </row>
    <row r="33" spans="2:10">
      <c r="B33" s="574" t="s">
        <v>444</v>
      </c>
      <c r="E33" s="946">
        <f>SUM(E28:E32)</f>
        <v>12086937</v>
      </c>
      <c r="F33" s="947">
        <f>+'ATT H-2A'!H16</f>
        <v>0.17040128500007015</v>
      </c>
      <c r="G33" s="948">
        <f>+F33*E33</f>
        <v>2059629.596514893</v>
      </c>
      <c r="I33" s="645"/>
      <c r="J33" s="645"/>
    </row>
    <row r="34" spans="2:10">
      <c r="B34" s="574"/>
      <c r="C34" s="951"/>
      <c r="F34" s="645"/>
      <c r="I34" s="645"/>
      <c r="J34" s="645"/>
    </row>
    <row r="35" spans="2:10">
      <c r="I35" s="645"/>
      <c r="J35" s="645"/>
    </row>
    <row r="36" spans="2:10">
      <c r="B36" s="574" t="s">
        <v>442</v>
      </c>
      <c r="F36" s="750" t="s">
        <v>152</v>
      </c>
      <c r="I36" s="645"/>
      <c r="J36" s="645"/>
    </row>
    <row r="37" spans="2:10">
      <c r="I37" s="645"/>
      <c r="J37" s="645"/>
    </row>
    <row r="38" spans="2:10">
      <c r="B38" s="627">
        <f>+B29+1</f>
        <v>9</v>
      </c>
      <c r="C38" s="952" t="s">
        <v>407</v>
      </c>
      <c r="E38" s="935">
        <v>361680</v>
      </c>
      <c r="I38" s="645"/>
      <c r="J38" s="645"/>
    </row>
    <row r="39" spans="2:10">
      <c r="B39" s="627">
        <f>+B38+1</f>
        <v>10</v>
      </c>
      <c r="C39" s="930" t="s">
        <v>409</v>
      </c>
      <c r="E39" s="945">
        <v>107714</v>
      </c>
      <c r="I39" s="645"/>
      <c r="J39" s="645"/>
    </row>
    <row r="40" spans="2:10">
      <c r="C40" s="930"/>
      <c r="E40" s="935"/>
      <c r="I40" s="645"/>
      <c r="J40" s="645"/>
    </row>
    <row r="41" spans="2:10">
      <c r="C41" s="930"/>
      <c r="E41" s="935"/>
      <c r="I41" s="645"/>
      <c r="J41" s="645"/>
    </row>
    <row r="42" spans="2:10">
      <c r="B42" s="574" t="s">
        <v>445</v>
      </c>
      <c r="E42" s="946">
        <f>SUM(E38:E41)</f>
        <v>469394</v>
      </c>
      <c r="F42" s="947">
        <f>+'ATT H-2A'!H32</f>
        <v>0.20420825967620285</v>
      </c>
      <c r="G42" s="948">
        <f>+F42*E42</f>
        <v>95854.131842451563</v>
      </c>
      <c r="I42" s="645"/>
      <c r="J42" s="645"/>
    </row>
    <row r="43" spans="2:10">
      <c r="I43" s="645"/>
      <c r="J43" s="645"/>
    </row>
    <row r="44" spans="2:10">
      <c r="B44" s="574" t="s">
        <v>451</v>
      </c>
      <c r="G44" s="948">
        <f>+G42+G33+G22</f>
        <v>21144426.088327516</v>
      </c>
      <c r="I44" s="645"/>
      <c r="J44" s="645"/>
    </row>
    <row r="45" spans="2:10">
      <c r="C45" s="953"/>
      <c r="I45" s="645"/>
      <c r="J45" s="645"/>
    </row>
    <row r="46" spans="2:10">
      <c r="C46" s="953"/>
      <c r="I46" s="645"/>
      <c r="J46" s="645"/>
    </row>
    <row r="47" spans="2:10">
      <c r="C47" s="953"/>
      <c r="I47" s="645"/>
      <c r="J47" s="645"/>
    </row>
    <row r="48" spans="2:10">
      <c r="C48" s="574" t="s">
        <v>446</v>
      </c>
      <c r="I48" s="645"/>
      <c r="J48" s="645"/>
    </row>
    <row r="49" spans="2:19">
      <c r="I49" s="645"/>
      <c r="J49" s="645"/>
    </row>
    <row r="50" spans="2:19">
      <c r="B50" s="627">
        <f>+B39+1</f>
        <v>11</v>
      </c>
      <c r="C50" s="645" t="s">
        <v>3</v>
      </c>
      <c r="D50" s="645"/>
      <c r="E50" s="945">
        <v>78669560</v>
      </c>
      <c r="F50" s="511"/>
      <c r="G50" s="511"/>
      <c r="H50" s="511"/>
      <c r="I50" s="511"/>
      <c r="J50" s="511"/>
      <c r="K50" s="645"/>
      <c r="L50" s="645"/>
      <c r="M50" s="645"/>
      <c r="N50" s="645"/>
      <c r="O50" s="645"/>
      <c r="P50" s="645"/>
      <c r="Q50" s="645"/>
      <c r="R50" s="645"/>
      <c r="S50" s="645"/>
    </row>
    <row r="51" spans="2:19">
      <c r="B51" s="627">
        <f>+B50+1</f>
        <v>12</v>
      </c>
      <c r="C51" s="645" t="s">
        <v>4</v>
      </c>
      <c r="D51" s="645"/>
      <c r="E51" s="945">
        <v>16302103</v>
      </c>
      <c r="F51" s="511"/>
      <c r="G51" s="511"/>
      <c r="H51" s="511"/>
      <c r="I51" s="511"/>
      <c r="J51" s="511"/>
      <c r="K51" s="645"/>
      <c r="L51" s="645"/>
      <c r="M51" s="645"/>
      <c r="N51" s="645"/>
      <c r="O51" s="645"/>
      <c r="P51" s="645"/>
      <c r="Q51" s="645"/>
      <c r="R51" s="645"/>
      <c r="S51" s="645"/>
    </row>
    <row r="52" spans="2:19">
      <c r="B52" s="627">
        <f t="shared" ref="B52:B59" si="0">+B51+1</f>
        <v>13</v>
      </c>
      <c r="C52" s="645" t="s">
        <v>5</v>
      </c>
      <c r="D52" s="645"/>
      <c r="E52" s="945"/>
      <c r="F52" s="511"/>
      <c r="G52" s="511"/>
      <c r="H52" s="511"/>
      <c r="I52" s="511"/>
      <c r="J52" s="511"/>
      <c r="K52" s="645"/>
      <c r="L52" s="645"/>
      <c r="M52" s="645"/>
      <c r="N52" s="645"/>
      <c r="O52" s="645"/>
      <c r="P52" s="645"/>
      <c r="Q52" s="645"/>
      <c r="R52" s="645"/>
      <c r="S52" s="645"/>
    </row>
    <row r="53" spans="2:19">
      <c r="B53" s="627">
        <f t="shared" si="0"/>
        <v>14</v>
      </c>
      <c r="C53" s="645" t="s">
        <v>410</v>
      </c>
      <c r="D53" s="645"/>
      <c r="E53" s="935">
        <f>-878821+43719697</f>
        <v>42840876</v>
      </c>
      <c r="F53" s="511"/>
      <c r="G53" s="511"/>
      <c r="H53" s="511"/>
      <c r="I53" s="511"/>
      <c r="J53" s="511"/>
      <c r="K53" s="645"/>
      <c r="L53" s="645"/>
      <c r="M53" s="645"/>
      <c r="N53" s="645"/>
      <c r="O53" s="645"/>
      <c r="P53" s="645"/>
      <c r="Q53" s="645"/>
      <c r="R53" s="645"/>
      <c r="S53" s="645"/>
    </row>
    <row r="54" spans="2:19">
      <c r="B54" s="627">
        <f t="shared" si="0"/>
        <v>15</v>
      </c>
      <c r="C54" s="645" t="s">
        <v>6</v>
      </c>
      <c r="D54" s="645"/>
      <c r="E54" s="945">
        <v>4347442</v>
      </c>
      <c r="F54" s="511"/>
      <c r="G54" s="511"/>
      <c r="H54" s="511"/>
      <c r="I54" s="511"/>
      <c r="J54" s="511"/>
      <c r="K54" s="645"/>
      <c r="L54" s="645"/>
      <c r="M54" s="645"/>
      <c r="N54" s="645"/>
      <c r="O54" s="645"/>
      <c r="P54" s="645"/>
      <c r="Q54" s="645"/>
      <c r="R54" s="645"/>
      <c r="S54" s="645"/>
    </row>
    <row r="55" spans="2:19">
      <c r="B55" s="627">
        <f t="shared" si="0"/>
        <v>16</v>
      </c>
      <c r="C55" s="944" t="s">
        <v>11</v>
      </c>
      <c r="E55" s="935">
        <v>4283000</v>
      </c>
      <c r="F55" s="645"/>
      <c r="G55" s="645"/>
      <c r="H55" s="645"/>
      <c r="I55" s="645"/>
      <c r="J55" s="645"/>
      <c r="K55" s="645"/>
      <c r="L55" s="645"/>
      <c r="M55" s="645"/>
      <c r="N55" s="645"/>
      <c r="O55" s="645"/>
      <c r="P55" s="645"/>
      <c r="Q55" s="645"/>
      <c r="R55" s="645"/>
      <c r="S55" s="645"/>
    </row>
    <row r="56" spans="2:19">
      <c r="B56" s="627">
        <f t="shared" si="0"/>
        <v>17</v>
      </c>
      <c r="C56" s="944" t="s">
        <v>12</v>
      </c>
      <c r="E56" s="935">
        <v>603246</v>
      </c>
      <c r="I56" s="645"/>
      <c r="J56" s="645"/>
    </row>
    <row r="57" spans="2:19">
      <c r="B57" s="627">
        <f t="shared" si="0"/>
        <v>18</v>
      </c>
      <c r="C57" s="944" t="s">
        <v>73</v>
      </c>
      <c r="E57" s="935"/>
      <c r="I57" s="645"/>
      <c r="J57" s="645"/>
    </row>
    <row r="58" spans="2:19">
      <c r="B58" s="627">
        <f t="shared" si="0"/>
        <v>19</v>
      </c>
      <c r="C58" s="645" t="s">
        <v>13</v>
      </c>
      <c r="E58" s="935">
        <v>3158171</v>
      </c>
      <c r="I58" s="645"/>
      <c r="J58" s="645"/>
    </row>
    <row r="59" spans="2:19">
      <c r="B59" s="627">
        <f t="shared" si="0"/>
        <v>20</v>
      </c>
      <c r="C59" s="645" t="s">
        <v>14</v>
      </c>
      <c r="E59" s="954">
        <v>21621474</v>
      </c>
      <c r="I59" s="645"/>
      <c r="J59" s="645"/>
    </row>
    <row r="60" spans="2:19">
      <c r="C60" s="645"/>
      <c r="I60" s="645"/>
      <c r="J60" s="645"/>
    </row>
    <row r="61" spans="2:19" ht="13.5" thickBot="1">
      <c r="B61" s="627">
        <f>+B59+1</f>
        <v>21</v>
      </c>
      <c r="C61" s="645" t="s">
        <v>15</v>
      </c>
      <c r="E61" s="955">
        <f>E22+E33+E42+SUM(E50:E59)</f>
        <v>277370324</v>
      </c>
      <c r="I61" s="645"/>
      <c r="J61" s="645"/>
    </row>
    <row r="62" spans="2:19" ht="13.5" thickTop="1">
      <c r="C62" s="645"/>
      <c r="F62" s="780"/>
      <c r="I62" s="645"/>
      <c r="J62" s="645"/>
    </row>
    <row r="63" spans="2:19">
      <c r="B63" s="645"/>
      <c r="C63" s="932" t="s">
        <v>95</v>
      </c>
      <c r="D63" s="932"/>
      <c r="E63" s="956">
        <f>+F59-F61</f>
        <v>0</v>
      </c>
      <c r="F63" s="957"/>
      <c r="G63" s="957"/>
      <c r="H63" s="554"/>
      <c r="I63" s="645"/>
      <c r="J63" s="645"/>
    </row>
    <row r="64" spans="2:19">
      <c r="B64" s="645" t="s">
        <v>653</v>
      </c>
      <c r="C64" s="645"/>
      <c r="D64" s="645"/>
      <c r="E64" s="958"/>
      <c r="F64" s="511"/>
      <c r="G64" s="511"/>
      <c r="H64" s="511"/>
      <c r="I64" s="645"/>
      <c r="J64" s="645"/>
    </row>
    <row r="65" spans="2:10">
      <c r="B65" s="645" t="s">
        <v>178</v>
      </c>
      <c r="C65" s="645" t="s">
        <v>96</v>
      </c>
      <c r="D65" s="645"/>
      <c r="E65" s="958"/>
      <c r="F65" s="511"/>
      <c r="G65" s="511"/>
      <c r="H65" s="511"/>
      <c r="I65" s="645"/>
      <c r="J65" s="645"/>
    </row>
    <row r="66" spans="2:10">
      <c r="B66" s="645"/>
      <c r="C66" s="929" t="s">
        <v>97</v>
      </c>
      <c r="D66" s="645"/>
      <c r="E66" s="958"/>
      <c r="F66" s="645"/>
      <c r="G66" s="511"/>
      <c r="H66" s="511"/>
      <c r="I66" s="645"/>
      <c r="J66" s="645"/>
    </row>
    <row r="67" spans="2:10">
      <c r="B67" s="645" t="s">
        <v>341</v>
      </c>
      <c r="C67" s="645" t="s">
        <v>98</v>
      </c>
      <c r="D67" s="645"/>
      <c r="E67" s="958"/>
      <c r="F67" s="645"/>
      <c r="G67" s="511"/>
      <c r="H67" s="511"/>
      <c r="I67" s="645"/>
      <c r="J67" s="645"/>
    </row>
    <row r="68" spans="2:10">
      <c r="B68" s="645"/>
      <c r="C68" s="929" t="s">
        <v>97</v>
      </c>
      <c r="D68" s="645"/>
      <c r="E68" s="958"/>
      <c r="F68" s="645"/>
      <c r="G68" s="511"/>
      <c r="H68" s="511"/>
      <c r="I68" s="645"/>
      <c r="J68" s="645"/>
    </row>
    <row r="69" spans="2:10">
      <c r="B69" s="645" t="s">
        <v>150</v>
      </c>
      <c r="C69" s="645" t="s">
        <v>99</v>
      </c>
      <c r="D69" s="645"/>
      <c r="E69" s="958"/>
      <c r="F69" s="645"/>
      <c r="G69" s="511"/>
      <c r="H69" s="511"/>
      <c r="I69" s="645"/>
      <c r="J69" s="645"/>
    </row>
    <row r="70" spans="2:10">
      <c r="B70" s="645" t="s">
        <v>179</v>
      </c>
      <c r="C70" s="929" t="s">
        <v>476</v>
      </c>
      <c r="D70" s="645"/>
      <c r="E70" s="958"/>
      <c r="F70" s="645"/>
      <c r="G70" s="511"/>
      <c r="H70" s="511"/>
      <c r="I70" s="645"/>
      <c r="J70" s="645"/>
    </row>
    <row r="71" spans="2:10">
      <c r="B71" s="645"/>
      <c r="C71" s="645" t="s">
        <v>477</v>
      </c>
      <c r="D71" s="645"/>
      <c r="E71" s="958"/>
      <c r="F71" s="645"/>
      <c r="G71" s="645"/>
      <c r="H71" s="645"/>
      <c r="I71" s="645"/>
      <c r="J71" s="645"/>
    </row>
    <row r="72" spans="2:10">
      <c r="B72" s="645"/>
      <c r="C72" s="645" t="s">
        <v>478</v>
      </c>
      <c r="D72" s="645"/>
      <c r="E72" s="958"/>
      <c r="F72" s="645"/>
      <c r="G72" s="645"/>
      <c r="H72" s="645"/>
      <c r="I72" s="645"/>
      <c r="J72" s="645"/>
    </row>
    <row r="73" spans="2:10">
      <c r="B73" s="645" t="s">
        <v>177</v>
      </c>
      <c r="C73" s="645" t="s">
        <v>475</v>
      </c>
      <c r="D73" s="645"/>
      <c r="E73" s="934"/>
      <c r="F73" s="645"/>
      <c r="G73" s="645"/>
      <c r="H73" s="645"/>
      <c r="I73" s="645"/>
      <c r="J73" s="645"/>
    </row>
    <row r="74" spans="2:10">
      <c r="I74" s="645"/>
      <c r="J74" s="645"/>
    </row>
  </sheetData>
  <mergeCells count="2">
    <mergeCell ref="A1:H1"/>
    <mergeCell ref="A3:H3"/>
  </mergeCells>
  <phoneticPr fontId="0" type="noConversion"/>
  <pageMargins left="1" right="0.75" top="1.5" bottom="1" header="0.5" footer="0.5"/>
  <pageSetup scale="69" orientation="portrait" r:id="rId1"/>
  <headerFooter alignWithMargins="0">
    <oddHeader>&amp;L&amp;"Arial,Bold"&amp;12
&amp;R&amp;"Times New Roman,Bold"&amp;12Appendix 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zoomScale="130" zoomScaleNormal="130" workbookViewId="0">
      <selection activeCell="D18" sqref="D18"/>
    </sheetView>
  </sheetViews>
  <sheetFormatPr defaultColWidth="9.140625" defaultRowHeight="12.75"/>
  <cols>
    <col min="1" max="1" width="4.140625" style="627" customWidth="1"/>
    <col min="2" max="2" width="74.28515625" style="627" customWidth="1"/>
    <col min="3" max="3" width="18.85546875" style="627" bestFit="1" customWidth="1"/>
    <col min="4" max="4" width="14" style="959" bestFit="1" customWidth="1"/>
    <col min="5" max="5" width="9.140625" style="627"/>
    <col min="6" max="6" width="14" style="627" bestFit="1" customWidth="1"/>
    <col min="7" max="16384" width="9.140625" style="627"/>
  </cols>
  <sheetData>
    <row r="1" spans="1:7" ht="18">
      <c r="A1" s="1071" t="str">
        <f>+'ATT H-2A'!A4</f>
        <v>Baltimore Gas and Electric Company</v>
      </c>
      <c r="B1" s="1071"/>
      <c r="C1" s="1071"/>
      <c r="D1" s="1071"/>
    </row>
    <row r="2" spans="1:7">
      <c r="A2" s="187"/>
    </row>
    <row r="3" spans="1:7" ht="15.75">
      <c r="A3" s="1073" t="s">
        <v>49</v>
      </c>
      <c r="B3" s="1077"/>
      <c r="C3" s="1077"/>
      <c r="D3" s="1077"/>
    </row>
    <row r="4" spans="1:7">
      <c r="B4" s="115"/>
      <c r="C4" s="960"/>
    </row>
    <row r="5" spans="1:7">
      <c r="B5" s="512"/>
      <c r="C5" s="960"/>
    </row>
    <row r="6" spans="1:7">
      <c r="B6" s="513" t="s">
        <v>16</v>
      </c>
    </row>
    <row r="7" spans="1:7">
      <c r="A7" s="627">
        <v>1</v>
      </c>
      <c r="B7" s="925" t="s">
        <v>256</v>
      </c>
      <c r="C7" s="961"/>
      <c r="D7" s="515">
        <f>391983+10707538</f>
        <v>11099521</v>
      </c>
      <c r="F7" s="924"/>
    </row>
    <row r="8" spans="1:7" s="115" customFormat="1">
      <c r="A8" s="627">
        <v>2</v>
      </c>
      <c r="B8" s="962" t="s">
        <v>17</v>
      </c>
      <c r="C8" s="627" t="s">
        <v>63</v>
      </c>
      <c r="D8" s="963">
        <f>SUM(D7:D7)</f>
        <v>11099521</v>
      </c>
      <c r="F8" s="1053"/>
    </row>
    <row r="9" spans="1:7">
      <c r="B9" s="962"/>
      <c r="C9" s="962"/>
      <c r="D9" s="964"/>
      <c r="F9" s="924"/>
    </row>
    <row r="10" spans="1:7">
      <c r="B10" s="513" t="s">
        <v>250</v>
      </c>
      <c r="C10" s="962"/>
      <c r="F10" s="924"/>
    </row>
    <row r="11" spans="1:7">
      <c r="B11" s="965"/>
      <c r="C11" s="950"/>
      <c r="D11" s="966"/>
      <c r="F11" s="924"/>
    </row>
    <row r="12" spans="1:7">
      <c r="A12" s="627">
        <f>+A8+1</f>
        <v>3</v>
      </c>
      <c r="B12" s="925" t="s">
        <v>197</v>
      </c>
      <c r="C12" s="944"/>
      <c r="D12" s="515">
        <v>1434652</v>
      </c>
      <c r="F12" s="924"/>
    </row>
    <row r="13" spans="1:7" ht="38.25">
      <c r="A13" s="967">
        <f t="shared" ref="A13:A19" si="0">+A12+1</f>
        <v>4</v>
      </c>
      <c r="B13" s="944" t="s">
        <v>123</v>
      </c>
      <c r="C13" s="944"/>
      <c r="D13" s="515">
        <v>0</v>
      </c>
      <c r="F13" s="924"/>
    </row>
    <row r="14" spans="1:7" ht="25.5">
      <c r="A14" s="627">
        <f t="shared" si="0"/>
        <v>5</v>
      </c>
      <c r="B14" s="968" t="s">
        <v>122</v>
      </c>
      <c r="C14" s="944"/>
      <c r="D14" s="515">
        <v>1392448</v>
      </c>
      <c r="F14" s="924"/>
    </row>
    <row r="15" spans="1:7">
      <c r="A15" s="627">
        <f t="shared" si="0"/>
        <v>6</v>
      </c>
      <c r="B15" s="962" t="s">
        <v>257</v>
      </c>
      <c r="C15" s="950"/>
      <c r="D15" s="969">
        <v>0</v>
      </c>
      <c r="F15" s="924"/>
    </row>
    <row r="16" spans="1:7">
      <c r="A16" s="627">
        <f t="shared" si="0"/>
        <v>7</v>
      </c>
      <c r="B16" s="962" t="s">
        <v>258</v>
      </c>
      <c r="C16" s="944"/>
      <c r="D16" s="969">
        <v>0</v>
      </c>
      <c r="F16" s="660"/>
      <c r="G16" s="645"/>
    </row>
    <row r="17" spans="1:7">
      <c r="A17" s="627">
        <f t="shared" si="0"/>
        <v>8</v>
      </c>
      <c r="B17" s="962" t="s">
        <v>259</v>
      </c>
      <c r="C17" s="961"/>
      <c r="D17" s="970">
        <v>1311881.52</v>
      </c>
      <c r="F17" s="660"/>
      <c r="G17" s="645"/>
    </row>
    <row r="18" spans="1:7">
      <c r="A18" s="627">
        <f t="shared" si="0"/>
        <v>9</v>
      </c>
      <c r="B18" s="962" t="s">
        <v>260</v>
      </c>
      <c r="C18" s="645"/>
      <c r="D18" s="970">
        <v>24622178.002549749</v>
      </c>
      <c r="F18" s="972"/>
      <c r="G18" s="645"/>
    </row>
    <row r="19" spans="1:7">
      <c r="A19" s="627">
        <f t="shared" si="0"/>
        <v>10</v>
      </c>
      <c r="B19" s="962" t="s">
        <v>261</v>
      </c>
      <c r="C19" s="645"/>
      <c r="D19" s="970"/>
      <c r="F19" s="972"/>
      <c r="G19" s="645"/>
    </row>
    <row r="20" spans="1:7">
      <c r="B20" s="962"/>
      <c r="D20" s="971"/>
      <c r="F20" s="660"/>
      <c r="G20" s="645"/>
    </row>
    <row r="21" spans="1:7">
      <c r="A21" s="627">
        <f>+A19+1</f>
        <v>11</v>
      </c>
      <c r="B21" s="962" t="s">
        <v>100</v>
      </c>
      <c r="C21" s="627" t="s">
        <v>66</v>
      </c>
      <c r="D21" s="970">
        <f>SUM(D12:D20)+D8</f>
        <v>39860680.522549748</v>
      </c>
      <c r="F21" s="660"/>
      <c r="G21" s="645"/>
    </row>
    <row r="22" spans="1:7">
      <c r="A22" s="645">
        <v>12</v>
      </c>
      <c r="B22" s="961" t="s">
        <v>9</v>
      </c>
      <c r="C22" s="645"/>
      <c r="D22" s="972">
        <f>+D39</f>
        <v>-7939496.71480125</v>
      </c>
      <c r="F22" s="660"/>
      <c r="G22" s="645"/>
    </row>
    <row r="23" spans="1:7">
      <c r="A23" s="645">
        <v>13</v>
      </c>
      <c r="B23" s="961" t="s">
        <v>101</v>
      </c>
      <c r="C23" s="645"/>
      <c r="D23" s="972">
        <f>+D21+D22</f>
        <v>31921183.807748497</v>
      </c>
      <c r="F23" s="924"/>
    </row>
    <row r="24" spans="1:7">
      <c r="A24" s="645"/>
      <c r="C24" s="645"/>
      <c r="D24" s="972"/>
    </row>
    <row r="25" spans="1:7">
      <c r="B25" s="962"/>
      <c r="D25" s="972"/>
    </row>
    <row r="26" spans="1:7" ht="54" customHeight="1">
      <c r="B26" s="962"/>
      <c r="D26" s="972"/>
    </row>
    <row r="27" spans="1:7">
      <c r="B27" s="514" t="s">
        <v>18</v>
      </c>
      <c r="D27" s="973"/>
    </row>
    <row r="28" spans="1:7" ht="54.75" customHeight="1">
      <c r="A28" s="974">
        <v>14</v>
      </c>
      <c r="B28" s="646" t="s">
        <v>772</v>
      </c>
      <c r="D28" s="972"/>
    </row>
    <row r="29" spans="1:7">
      <c r="A29" s="967"/>
      <c r="B29" s="962"/>
    </row>
    <row r="30" spans="1:7" ht="63.75">
      <c r="A30" s="967">
        <v>15</v>
      </c>
      <c r="B30" s="968" t="s">
        <v>254</v>
      </c>
    </row>
    <row r="31" spans="1:7">
      <c r="A31" s="967"/>
      <c r="B31" s="962"/>
    </row>
    <row r="32" spans="1:7" ht="156.75" customHeight="1">
      <c r="A32" s="967">
        <v>16</v>
      </c>
      <c r="B32" s="975" t="s">
        <v>265</v>
      </c>
      <c r="C32" s="227"/>
      <c r="D32" s="972"/>
    </row>
    <row r="33" spans="1:4" s="645" customFormat="1" ht="15.75">
      <c r="A33" s="974" t="s">
        <v>102</v>
      </c>
      <c r="B33" s="976" t="s">
        <v>666</v>
      </c>
      <c r="C33" s="608"/>
      <c r="D33" s="972">
        <f>+D7</f>
        <v>11099521</v>
      </c>
    </row>
    <row r="34" spans="1:4" s="645" customFormat="1" ht="15.75">
      <c r="A34" s="974" t="s">
        <v>103</v>
      </c>
      <c r="B34" s="976" t="s">
        <v>104</v>
      </c>
      <c r="C34" s="608"/>
      <c r="D34" s="970">
        <v>4986674.5186024997</v>
      </c>
    </row>
    <row r="35" spans="1:4" s="645" customFormat="1" ht="15.75">
      <c r="A35" s="974" t="s">
        <v>105</v>
      </c>
      <c r="B35" s="976" t="s">
        <v>251</v>
      </c>
      <c r="C35" s="608"/>
      <c r="D35" s="972">
        <f>+D33-D34</f>
        <v>6112846.4813975003</v>
      </c>
    </row>
    <row r="36" spans="1:4" s="511" customFormat="1" ht="15.75">
      <c r="A36" s="974" t="s">
        <v>106</v>
      </c>
      <c r="B36" s="976" t="s">
        <v>252</v>
      </c>
      <c r="C36" s="608"/>
      <c r="D36" s="972">
        <f>+D35/2</f>
        <v>3056423.2406987501</v>
      </c>
    </row>
    <row r="37" spans="1:4" s="645" customFormat="1" ht="38.25">
      <c r="A37" s="974" t="s">
        <v>107</v>
      </c>
      <c r="B37" s="976" t="s">
        <v>84</v>
      </c>
      <c r="C37" s="608"/>
      <c r="D37" s="970">
        <v>103601.04450000002</v>
      </c>
    </row>
    <row r="38" spans="1:4" s="511" customFormat="1">
      <c r="A38" s="974" t="s">
        <v>128</v>
      </c>
      <c r="B38" s="961" t="s">
        <v>253</v>
      </c>
      <c r="C38" s="645"/>
      <c r="D38" s="972">
        <f>+D36+D37</f>
        <v>3160024.28519875</v>
      </c>
    </row>
    <row r="39" spans="1:4" s="645" customFormat="1">
      <c r="A39" s="974" t="s">
        <v>108</v>
      </c>
      <c r="B39" s="961" t="s">
        <v>129</v>
      </c>
      <c r="D39" s="972">
        <f>+D38-D33</f>
        <v>-7939496.71480125</v>
      </c>
    </row>
    <row r="40" spans="1:4" ht="63.75">
      <c r="A40" s="974">
        <v>18</v>
      </c>
      <c r="B40" s="646" t="s">
        <v>667</v>
      </c>
      <c r="D40" s="972">
        <f>3361017+39561518</f>
        <v>42922535</v>
      </c>
    </row>
    <row r="42" spans="1:4">
      <c r="A42" s="627">
        <v>19</v>
      </c>
      <c r="B42" s="627" t="s">
        <v>142</v>
      </c>
      <c r="D42" s="515">
        <v>207452564</v>
      </c>
    </row>
    <row r="43" spans="1:4">
      <c r="D43" s="977"/>
    </row>
    <row r="44" spans="1:4">
      <c r="A44" s="627">
        <v>20</v>
      </c>
      <c r="B44" s="627" t="s">
        <v>141</v>
      </c>
      <c r="C44" s="645"/>
      <c r="D44" s="780">
        <f>+D21+D28+D40+D42-D18-D17</f>
        <v>264301720</v>
      </c>
    </row>
    <row r="46" spans="1:4">
      <c r="C46" s="627" t="s">
        <v>654</v>
      </c>
      <c r="D46" s="959">
        <f>+D44</f>
        <v>264301720</v>
      </c>
    </row>
    <row r="48" spans="1:4">
      <c r="C48" s="627" t="s">
        <v>95</v>
      </c>
      <c r="D48" s="959">
        <f>+D46-D44</f>
        <v>0</v>
      </c>
    </row>
  </sheetData>
  <mergeCells count="2">
    <mergeCell ref="A3:D3"/>
    <mergeCell ref="A1:D1"/>
  </mergeCells>
  <phoneticPr fontId="0" type="noConversion"/>
  <pageMargins left="1" right="0.5" top="1.5" bottom="1" header="0.5" footer="0.5"/>
  <pageSetup scale="59" orientation="portrait" r:id="rId1"/>
  <headerFooter alignWithMargins="0">
    <oddHeader>&amp;R&amp;"Times New Roman,Bold"&amp;12Appendix A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7"/>
  <sheetViews>
    <sheetView zoomScale="75" zoomScaleNormal="75" zoomScaleSheetLayoutView="66" workbookViewId="0">
      <selection activeCell="G24" sqref="G24"/>
    </sheetView>
  </sheetViews>
  <sheetFormatPr defaultColWidth="9.140625" defaultRowHeight="12.75"/>
  <cols>
    <col min="1" max="1" width="10.28515625" style="627" customWidth="1"/>
    <col min="2" max="2" width="3" style="627" customWidth="1"/>
    <col min="3" max="3" width="3.5703125" style="627" customWidth="1"/>
    <col min="4" max="4" width="38.7109375" style="627" customWidth="1"/>
    <col min="5" max="5" width="27" style="627" customWidth="1"/>
    <col min="6" max="6" width="34.28515625" style="627" bestFit="1" customWidth="1"/>
    <col min="7" max="7" width="47.7109375" style="627" customWidth="1"/>
    <col min="8" max="8" width="3.85546875" style="627" customWidth="1"/>
    <col min="9" max="9" width="18" style="627" customWidth="1"/>
    <col min="10" max="16384" width="9.140625" style="627"/>
  </cols>
  <sheetData>
    <row r="1" spans="1:9" ht="18">
      <c r="A1" s="1071" t="str">
        <f>+'ATT H-2A'!A4</f>
        <v>Baltimore Gas and Electric Company</v>
      </c>
      <c r="B1" s="1071"/>
      <c r="C1" s="1071"/>
      <c r="D1" s="1071"/>
      <c r="E1" s="1071"/>
      <c r="F1" s="1071"/>
      <c r="G1" s="1071"/>
    </row>
    <row r="2" spans="1:9" ht="18">
      <c r="A2" s="187"/>
      <c r="B2" s="817"/>
      <c r="C2" s="817"/>
      <c r="D2" s="817"/>
      <c r="E2" s="817"/>
      <c r="F2" s="817"/>
      <c r="G2" s="817"/>
    </row>
    <row r="3" spans="1:9" ht="18">
      <c r="A3" s="1078" t="s">
        <v>32</v>
      </c>
      <c r="B3" s="1078"/>
      <c r="C3" s="1078"/>
      <c r="D3" s="1078"/>
      <c r="E3" s="1078"/>
      <c r="F3" s="1078"/>
      <c r="G3" s="1078"/>
      <c r="I3" s="198"/>
    </row>
    <row r="5" spans="1:9" s="21" customFormat="1" ht="15">
      <c r="B5" s="187"/>
    </row>
    <row r="6" spans="1:9" s="21" customFormat="1" ht="15"/>
    <row r="7" spans="1:9" s="21" customFormat="1" ht="15"/>
    <row r="8" spans="1:9" s="21" customFormat="1" ht="15">
      <c r="C8" s="21" t="s">
        <v>33</v>
      </c>
    </row>
    <row r="9" spans="1:9" s="21" customFormat="1" ht="15">
      <c r="A9" s="67" t="s">
        <v>178</v>
      </c>
      <c r="B9" s="67"/>
      <c r="D9" s="21" t="s">
        <v>34</v>
      </c>
      <c r="G9" s="27" t="s">
        <v>773</v>
      </c>
      <c r="I9" s="122">
        <f>+I57+I78</f>
        <v>107287736.55352497</v>
      </c>
    </row>
    <row r="10" spans="1:9" s="21" customFormat="1" ht="15">
      <c r="A10" s="67"/>
      <c r="B10" s="67"/>
    </row>
    <row r="11" spans="1:9" s="21" customFormat="1" ht="15">
      <c r="A11" s="67" t="s">
        <v>341</v>
      </c>
      <c r="B11" s="67"/>
      <c r="D11" s="21" t="str">
        <f>I11*10000&amp;" Basis Point increase in ROE"</f>
        <v>100 Basis Point increase in ROE</v>
      </c>
      <c r="I11" s="201">
        <v>0.01</v>
      </c>
    </row>
    <row r="12" spans="1:9" s="21" customFormat="1" ht="15">
      <c r="A12" s="67"/>
      <c r="B12" s="67"/>
      <c r="I12" s="201"/>
    </row>
    <row r="13" spans="1:9" s="27" customFormat="1" ht="15">
      <c r="A13" s="67"/>
      <c r="B13" s="67"/>
      <c r="C13" s="21"/>
      <c r="D13" s="21"/>
      <c r="E13" s="21"/>
      <c r="F13" s="21"/>
      <c r="G13" s="21"/>
      <c r="H13" s="21"/>
    </row>
    <row r="14" spans="1:9" s="843" customFormat="1" ht="15.75">
      <c r="A14" s="978" t="s">
        <v>635</v>
      </c>
    </row>
    <row r="15" spans="1:9" s="21" customFormat="1" ht="15">
      <c r="I15" s="198"/>
    </row>
    <row r="16" spans="1:9" s="21" customFormat="1" ht="15">
      <c r="A16" s="68">
        <v>59</v>
      </c>
      <c r="C16" s="44" t="str">
        <f>+'ATT H-2A'!B108</f>
        <v>Rate Base</v>
      </c>
      <c r="D16" s="44"/>
      <c r="F16" s="44"/>
      <c r="G16" s="75" t="s">
        <v>709</v>
      </c>
      <c r="H16" s="44"/>
      <c r="I16" s="122">
        <f>+'ATT H-2A'!H108</f>
        <v>887350469.03172386</v>
      </c>
    </row>
    <row r="17" spans="1:9" s="21" customFormat="1" ht="15">
      <c r="A17" s="27"/>
      <c r="G17" s="42"/>
      <c r="I17" s="198"/>
    </row>
    <row r="18" spans="1:9" s="21" customFormat="1" ht="15">
      <c r="A18" s="27"/>
      <c r="G18" s="42"/>
    </row>
    <row r="19" spans="1:9" s="21" customFormat="1" ht="15.75">
      <c r="A19" s="53"/>
      <c r="B19" s="44"/>
      <c r="C19" s="25" t="str">
        <f>'ATT H-2A'!B175</f>
        <v>Long Term Interest</v>
      </c>
      <c r="D19" s="61"/>
      <c r="E19" s="38"/>
      <c r="F19" s="9"/>
      <c r="G19" s="649"/>
      <c r="H19" s="632"/>
      <c r="I19" s="27"/>
    </row>
    <row r="20" spans="1:9" s="21" customFormat="1" ht="15.75">
      <c r="A20" s="53">
        <v>99</v>
      </c>
      <c r="B20" s="44"/>
      <c r="C20" s="44"/>
      <c r="D20" s="61" t="str">
        <f>'ATT H-2A'!C176</f>
        <v>Long Term Interest</v>
      </c>
      <c r="E20" s="38"/>
      <c r="F20" s="9"/>
      <c r="G20" s="649" t="str">
        <f>'ATT H-2A'!F176</f>
        <v>p117.62c through 67c</v>
      </c>
      <c r="H20" s="632"/>
      <c r="I20" s="635">
        <f>+'ATT H-2A'!H176</f>
        <v>109993264</v>
      </c>
    </row>
    <row r="21" spans="1:9" s="21" customFormat="1" ht="15">
      <c r="A21" s="53">
        <f>'ATT H-2A'!A177</f>
        <v>100</v>
      </c>
      <c r="B21" s="44"/>
      <c r="C21" s="44"/>
      <c r="D21" s="23" t="str">
        <f>'ATT H-2A'!C177</f>
        <v xml:space="preserve">    Less LTD Interest on Securitization Bonds</v>
      </c>
      <c r="E21" s="77" t="str">
        <f>'ATT H-2A'!E177</f>
        <v>(Note P)</v>
      </c>
      <c r="F21" s="979"/>
      <c r="G21" s="647" t="str">
        <f>'ATT H-2A'!F177</f>
        <v>Attachment 8</v>
      </c>
      <c r="H21" s="851"/>
      <c r="I21" s="635">
        <f>+'ATT H-2A'!H177</f>
        <v>5548488</v>
      </c>
    </row>
    <row r="22" spans="1:9" s="21" customFormat="1" ht="15.75">
      <c r="A22" s="53">
        <v>101</v>
      </c>
      <c r="B22" s="44"/>
      <c r="C22" s="44"/>
      <c r="D22" s="23" t="str">
        <f>'ATT H-2A'!C178</f>
        <v>Long Term Interest</v>
      </c>
      <c r="E22" s="38"/>
      <c r="F22" s="61"/>
      <c r="G22" s="75" t="s">
        <v>774</v>
      </c>
      <c r="H22" s="632"/>
      <c r="I22" s="635">
        <f>+I20-I21</f>
        <v>104444776</v>
      </c>
    </row>
    <row r="23" spans="1:9" s="21" customFormat="1" ht="15">
      <c r="A23" s="53"/>
      <c r="B23" s="44"/>
      <c r="C23" s="23"/>
      <c r="D23" s="23"/>
      <c r="E23" s="9"/>
      <c r="F23" s="721"/>
      <c r="G23" s="42"/>
      <c r="H23" s="721"/>
      <c r="I23" s="638"/>
    </row>
    <row r="24" spans="1:9" s="21" customFormat="1" ht="15.75">
      <c r="A24" s="53">
        <v>102</v>
      </c>
      <c r="B24" s="44"/>
      <c r="C24" s="44" t="str">
        <f>'ATT H-2A'!B180</f>
        <v>Preferred Dividends</v>
      </c>
      <c r="D24" s="409"/>
      <c r="E24" s="9" t="str">
        <f>'ATT H-2A'!E180</f>
        <v xml:space="preserve"> enter positive</v>
      </c>
      <c r="F24" s="9"/>
      <c r="G24" s="650" t="str">
        <f>'ATT H-2A'!F180</f>
        <v>p118.29c</v>
      </c>
      <c r="H24" s="721"/>
      <c r="I24" s="635">
        <f>+'ATT H-2A'!H180</f>
        <v>7962260</v>
      </c>
    </row>
    <row r="25" spans="1:9" s="21" customFormat="1" ht="15">
      <c r="A25" s="53"/>
      <c r="B25" s="44"/>
      <c r="C25" s="23"/>
      <c r="D25" s="23"/>
      <c r="E25" s="9"/>
      <c r="F25" s="847"/>
      <c r="G25" s="650"/>
      <c r="H25" s="721"/>
      <c r="I25" s="638"/>
    </row>
    <row r="26" spans="1:9" s="21" customFormat="1" ht="15.75">
      <c r="A26" s="53"/>
      <c r="B26" s="44"/>
      <c r="C26" s="23" t="str">
        <f>'ATT H-2A'!B182</f>
        <v>Common Stock</v>
      </c>
      <c r="D26" s="79"/>
      <c r="E26" s="9"/>
      <c r="F26" s="9"/>
      <c r="G26" s="650"/>
      <c r="H26" s="721"/>
      <c r="I26" s="638"/>
    </row>
    <row r="27" spans="1:9" s="21" customFormat="1" ht="15">
      <c r="A27" s="53">
        <v>103</v>
      </c>
      <c r="B27" s="44"/>
      <c r="C27" s="44"/>
      <c r="D27" s="23" t="str">
        <f>'ATT H-2A'!C183</f>
        <v>Proprietary Capital</v>
      </c>
      <c r="E27" s="721"/>
      <c r="F27" s="721"/>
      <c r="G27" s="650" t="str">
        <f>'ATT H-2A'!F183</f>
        <v>p112.16c</v>
      </c>
      <c r="H27" s="721"/>
      <c r="I27" s="635">
        <f>+'ATT H-2A'!H183</f>
        <v>2848100149</v>
      </c>
    </row>
    <row r="28" spans="1:9" s="21" customFormat="1" ht="15">
      <c r="A28" s="53">
        <v>104</v>
      </c>
      <c r="B28" s="44"/>
      <c r="C28" s="44"/>
      <c r="D28" s="25" t="str">
        <f>'ATT H-2A'!C184</f>
        <v xml:space="preserve">    Less Preferred Stock</v>
      </c>
      <c r="E28" s="638" t="str">
        <f>'ATT H-2A'!E184</f>
        <v>enter negative</v>
      </c>
      <c r="F28" s="638"/>
      <c r="G28" s="75" t="s">
        <v>725</v>
      </c>
      <c r="H28" s="721"/>
      <c r="I28" s="638">
        <f>-I40</f>
        <v>0</v>
      </c>
    </row>
    <row r="29" spans="1:9" s="21" customFormat="1" ht="15" hidden="1">
      <c r="A29" s="53">
        <f>'ATT H-2A'!A185</f>
        <v>105</v>
      </c>
      <c r="B29" s="44"/>
      <c r="C29" s="44"/>
      <c r="D29" s="25" t="str">
        <f>'ATT H-2A'!C185</f>
        <v xml:space="preserve">    Plus Securitization Adjustment</v>
      </c>
      <c r="E29" s="850">
        <f>'ATT H-2A'!E185</f>
        <v>0</v>
      </c>
      <c r="F29" s="638"/>
      <c r="G29" s="650" t="str">
        <f>'ATT H-2A'!F185</f>
        <v>Attachment 8</v>
      </c>
      <c r="H29" s="721"/>
      <c r="I29" s="635">
        <f>+'ATT H-2A'!H185</f>
        <v>0</v>
      </c>
    </row>
    <row r="30" spans="1:9" s="21" customFormat="1" ht="15">
      <c r="A30" s="53">
        <v>105</v>
      </c>
      <c r="B30" s="44"/>
      <c r="C30" s="44"/>
      <c r="D30" s="25" t="str">
        <f>'ATT H-2A'!C186</f>
        <v xml:space="preserve">    Less Account 216.1</v>
      </c>
      <c r="E30" s="636" t="str">
        <f>'ATT H-2A'!E186</f>
        <v>enter negative</v>
      </c>
      <c r="F30" s="636"/>
      <c r="G30" s="647" t="str">
        <f>'ATT H-2A'!F186</f>
        <v>p112.12c</v>
      </c>
      <c r="H30" s="851"/>
      <c r="I30" s="636">
        <f>+'ATT H-2A'!H186</f>
        <v>0</v>
      </c>
    </row>
    <row r="31" spans="1:9" s="21" customFormat="1" ht="15.75">
      <c r="A31" s="53">
        <v>106</v>
      </c>
      <c r="B31" s="44"/>
      <c r="C31" s="44"/>
      <c r="D31" s="25" t="str">
        <f>'ATT H-2A'!C187</f>
        <v>Common Stock</v>
      </c>
      <c r="E31" s="635"/>
      <c r="F31" s="101"/>
      <c r="G31" s="75" t="s">
        <v>726</v>
      </c>
      <c r="H31" s="96"/>
      <c r="I31" s="638">
        <f>+I27+I28+I30+I29</f>
        <v>2848100149</v>
      </c>
    </row>
    <row r="32" spans="1:9" s="21" customFormat="1" ht="15">
      <c r="A32" s="53"/>
      <c r="B32" s="44"/>
      <c r="C32" s="23"/>
      <c r="D32" s="23"/>
      <c r="E32" s="9"/>
      <c r="F32" s="847"/>
      <c r="G32" s="650"/>
      <c r="H32" s="9"/>
      <c r="I32" s="638"/>
    </row>
    <row r="33" spans="1:12" s="21" customFormat="1" ht="15.75">
      <c r="A33" s="53"/>
      <c r="B33" s="44"/>
      <c r="C33" s="23" t="str">
        <f>'ATT H-2A'!B189</f>
        <v>Capitalization</v>
      </c>
      <c r="D33" s="79"/>
      <c r="E33" s="9"/>
      <c r="F33" s="9"/>
      <c r="G33" s="650"/>
      <c r="H33" s="9"/>
      <c r="I33" s="638"/>
    </row>
    <row r="34" spans="1:12" s="21" customFormat="1" ht="15">
      <c r="A34" s="53">
        <v>107</v>
      </c>
      <c r="B34" s="44"/>
      <c r="C34" s="44"/>
      <c r="D34" s="23" t="str">
        <f>'ATT H-2A'!C190</f>
        <v>Long Term Debt</v>
      </c>
      <c r="E34" s="9"/>
      <c r="F34" s="847"/>
      <c r="G34" s="25" t="str">
        <f>'ATT H-2A'!F190</f>
        <v>p112.18d through 21d</v>
      </c>
      <c r="H34" s="9"/>
      <c r="I34" s="635">
        <f>+'ATT H-2A'!H190</f>
        <v>2576685985</v>
      </c>
    </row>
    <row r="35" spans="1:12" s="21" customFormat="1" ht="15">
      <c r="A35" s="53">
        <v>108</v>
      </c>
      <c r="B35" s="44"/>
      <c r="C35" s="44"/>
      <c r="D35" s="23" t="str">
        <f>'ATT H-2A'!C191</f>
        <v xml:space="preserve">      Less Loss on Reacquired Debt </v>
      </c>
      <c r="F35" s="9" t="str">
        <f>'ATT H-2A'!E191</f>
        <v>enter negative</v>
      </c>
      <c r="G35" s="650" t="str">
        <f>'ATT H-2A'!F191</f>
        <v>p111.81.c</v>
      </c>
      <c r="H35" s="9"/>
      <c r="I35" s="635">
        <f>+'ATT H-2A'!H191</f>
        <v>-6949098</v>
      </c>
    </row>
    <row r="36" spans="1:12" s="21" customFormat="1" ht="15">
      <c r="A36" s="53">
        <v>109</v>
      </c>
      <c r="B36" s="44"/>
      <c r="C36" s="44"/>
      <c r="D36" s="23" t="str">
        <f>'ATT H-2A'!C192</f>
        <v xml:space="preserve">      Plus Gain on Reacquired Debt</v>
      </c>
      <c r="F36" s="9" t="str">
        <f>'ATT H-2A'!E192</f>
        <v>enter positive</v>
      </c>
      <c r="G36" s="25" t="str">
        <f>'ATT H-2A'!F192</f>
        <v>p113.61c</v>
      </c>
      <c r="H36" s="9"/>
      <c r="I36" s="635">
        <f>+'ATT H-2A'!H192</f>
        <v>0</v>
      </c>
    </row>
    <row r="37" spans="1:12" s="27" customFormat="1" ht="15">
      <c r="A37" s="53">
        <v>110</v>
      </c>
      <c r="B37" s="53"/>
      <c r="D37" s="852" t="s">
        <v>91</v>
      </c>
      <c r="F37" s="650" t="str">
        <f>+F35</f>
        <v>enter negative</v>
      </c>
      <c r="G37" s="648" t="s">
        <v>55</v>
      </c>
      <c r="I37" s="638">
        <f>+'ATT H-2A'!H193</f>
        <v>2231529</v>
      </c>
      <c r="K37" s="21"/>
      <c r="L37" s="21"/>
    </row>
    <row r="38" spans="1:12" s="21" customFormat="1" ht="15">
      <c r="A38" s="53">
        <v>111</v>
      </c>
      <c r="B38" s="44"/>
      <c r="C38" s="44"/>
      <c r="D38" s="23" t="str">
        <f>'ATT H-2A'!C194</f>
        <v xml:space="preserve">      Less LTD on Securitization Bonds</v>
      </c>
      <c r="F38" s="21" t="str">
        <f>'ATT H-2A'!E194</f>
        <v>enter negative</v>
      </c>
      <c r="G38" s="650" t="str">
        <f>'ATT H-2A'!F194</f>
        <v>Attachment 8</v>
      </c>
      <c r="H38" s="9"/>
      <c r="I38" s="635">
        <f>+'ATT H-2A'!H194</f>
        <v>-18954010</v>
      </c>
    </row>
    <row r="39" spans="1:12" s="21" customFormat="1" ht="15">
      <c r="A39" s="53">
        <v>112</v>
      </c>
      <c r="B39" s="44"/>
      <c r="C39" s="44"/>
      <c r="D39" s="25" t="str">
        <f>'ATT H-2A'!C195</f>
        <v>Total Long Term Debt</v>
      </c>
      <c r="E39" s="34"/>
      <c r="F39" s="886"/>
      <c r="G39" s="651" t="s">
        <v>727</v>
      </c>
      <c r="H39" s="30"/>
      <c r="I39" s="803">
        <f>SUM(I34:I38)</f>
        <v>2553014406</v>
      </c>
    </row>
    <row r="40" spans="1:12" s="21" customFormat="1" ht="15">
      <c r="A40" s="53">
        <v>113</v>
      </c>
      <c r="B40" s="44"/>
      <c r="C40" s="44"/>
      <c r="D40" s="23" t="str">
        <f>'ATT H-2A'!C196</f>
        <v>Preferred Stock</v>
      </c>
      <c r="E40" s="9"/>
      <c r="F40" s="847"/>
      <c r="G40" s="25" t="str">
        <f>'ATT H-2A'!F196</f>
        <v>p112.3c</v>
      </c>
      <c r="H40" s="9"/>
      <c r="I40" s="635">
        <f>+'ATT H-2A'!H196</f>
        <v>0</v>
      </c>
    </row>
    <row r="41" spans="1:12" s="21" customFormat="1" ht="15">
      <c r="A41" s="53">
        <v>114</v>
      </c>
      <c r="B41" s="44"/>
      <c r="C41" s="44"/>
      <c r="D41" s="23" t="str">
        <f>'ATT H-2A'!C197</f>
        <v>Common Stock</v>
      </c>
      <c r="E41" s="9"/>
      <c r="F41" s="847"/>
      <c r="G41" s="42" t="s">
        <v>728</v>
      </c>
      <c r="H41" s="9"/>
      <c r="I41" s="635">
        <f>I31</f>
        <v>2848100149</v>
      </c>
    </row>
    <row r="42" spans="1:12" s="21" customFormat="1" ht="15.75">
      <c r="A42" s="53">
        <v>115</v>
      </c>
      <c r="B42" s="44"/>
      <c r="C42" s="44"/>
      <c r="D42" s="23" t="str">
        <f>'ATT H-2A'!C198</f>
        <v>Total  Capitalization</v>
      </c>
      <c r="E42" s="34"/>
      <c r="F42" s="64"/>
      <c r="G42" s="651" t="s">
        <v>729</v>
      </c>
      <c r="H42" s="845"/>
      <c r="I42" s="803">
        <f>I41+I40+I39</f>
        <v>5401114555</v>
      </c>
    </row>
    <row r="43" spans="1:12" s="21" customFormat="1" ht="15">
      <c r="A43" s="53"/>
      <c r="B43" s="44"/>
      <c r="C43" s="44"/>
      <c r="D43" s="23"/>
      <c r="E43" s="9"/>
      <c r="F43" s="847"/>
      <c r="G43" s="42"/>
      <c r="H43" s="721"/>
      <c r="I43" s="850"/>
    </row>
    <row r="44" spans="1:12" s="21" customFormat="1" ht="15">
      <c r="A44" s="53">
        <v>116</v>
      </c>
      <c r="B44" s="44"/>
      <c r="C44" s="44"/>
      <c r="D44" s="23" t="str">
        <f>'ATT H-2A'!C200</f>
        <v>Debt %</v>
      </c>
      <c r="E44" s="648"/>
      <c r="F44" s="55" t="str">
        <f>'ATT H-2A'!D200</f>
        <v>Total Long Term Debt</v>
      </c>
      <c r="G44" s="75" t="s">
        <v>730</v>
      </c>
      <c r="H44" s="721"/>
      <c r="I44" s="980">
        <f>IF(I42&gt;0,I39/I42,0)</f>
        <v>0.47268288424591653</v>
      </c>
    </row>
    <row r="45" spans="1:12" s="21" customFormat="1" ht="15">
      <c r="A45" s="53">
        <v>116</v>
      </c>
      <c r="B45" s="44"/>
      <c r="C45" s="44"/>
      <c r="D45" s="23" t="str">
        <f>'ATT H-2A'!C201</f>
        <v>Preferred %</v>
      </c>
      <c r="E45" s="847"/>
      <c r="F45" s="55" t="str">
        <f>'ATT H-2A'!D201</f>
        <v>Preferred Stock</v>
      </c>
      <c r="G45" s="75" t="s">
        <v>731</v>
      </c>
      <c r="H45" s="721"/>
      <c r="I45" s="980">
        <f>IF(I42&gt;0,I40/I42,0)</f>
        <v>0</v>
      </c>
    </row>
    <row r="46" spans="1:12" s="21" customFormat="1" ht="15">
      <c r="A46" s="53">
        <v>116</v>
      </c>
      <c r="B46" s="44"/>
      <c r="C46" s="44"/>
      <c r="D46" s="23" t="str">
        <f>'ATT H-2A'!C202</f>
        <v>Common %</v>
      </c>
      <c r="E46" s="847"/>
      <c r="F46" s="55" t="str">
        <f>'ATT H-2A'!D202</f>
        <v>Common Stock</v>
      </c>
      <c r="G46" s="75" t="s">
        <v>732</v>
      </c>
      <c r="H46" s="721"/>
      <c r="I46" s="980">
        <f>IF(I42&gt;0,I41/I42,0)</f>
        <v>0.52731711575408347</v>
      </c>
    </row>
    <row r="47" spans="1:12" s="21" customFormat="1" ht="15">
      <c r="A47" s="53"/>
      <c r="B47" s="44"/>
      <c r="C47" s="44"/>
      <c r="D47" s="23"/>
      <c r="E47" s="9"/>
      <c r="F47" s="888"/>
      <c r="G47" s="75"/>
      <c r="H47" s="721"/>
      <c r="I47" s="850"/>
    </row>
    <row r="48" spans="1:12" s="21" customFormat="1" ht="15">
      <c r="A48" s="53">
        <v>119</v>
      </c>
      <c r="B48" s="44"/>
      <c r="C48" s="44"/>
      <c r="D48" s="23" t="str">
        <f>'ATT H-2A'!C204</f>
        <v>Debt Cost</v>
      </c>
      <c r="E48" s="648"/>
      <c r="F48" s="888" t="str">
        <f>'ATT H-2A'!D204</f>
        <v>Total Long Term Debt</v>
      </c>
      <c r="G48" s="75" t="s">
        <v>733</v>
      </c>
      <c r="H48" s="721"/>
      <c r="I48" s="981">
        <f>IF(I39&gt;0,I22/I39,0)</f>
        <v>4.0910374714117459E-2</v>
      </c>
    </row>
    <row r="49" spans="1:12" s="21" customFormat="1" ht="15">
      <c r="A49" s="53">
        <v>120</v>
      </c>
      <c r="B49" s="44"/>
      <c r="C49" s="44"/>
      <c r="D49" s="23" t="str">
        <f>'ATT H-2A'!C205</f>
        <v>Preferred Cost</v>
      </c>
      <c r="E49" s="847"/>
      <c r="F49" s="888" t="str">
        <f>'ATT H-2A'!D205</f>
        <v>Preferred Stock</v>
      </c>
      <c r="G49" s="75" t="s">
        <v>734</v>
      </c>
      <c r="H49" s="721"/>
      <c r="I49" s="981">
        <f>IF(I40&gt;0,I24/I40,0)</f>
        <v>0</v>
      </c>
    </row>
    <row r="50" spans="1:12" s="21" customFormat="1" ht="15">
      <c r="A50" s="53">
        <v>121</v>
      </c>
      <c r="B50" s="44"/>
      <c r="C50" s="44"/>
      <c r="D50" s="23" t="str">
        <f>'ATT H-2A'!C206</f>
        <v>Common Cost</v>
      </c>
      <c r="E50" s="25" t="s">
        <v>124</v>
      </c>
      <c r="F50" s="888" t="str">
        <f>'ATT H-2A'!D206</f>
        <v>Common Stock</v>
      </c>
      <c r="G50" s="164" t="s">
        <v>31</v>
      </c>
      <c r="H50" s="721"/>
      <c r="I50" s="1040">
        <f>+'ATT H-2A'!H206+I11</f>
        <v>0.11499999999999999</v>
      </c>
    </row>
    <row r="51" spans="1:12" s="21" customFormat="1" ht="15">
      <c r="A51" s="53"/>
      <c r="B51" s="44"/>
      <c r="C51" s="44"/>
      <c r="D51" s="23"/>
      <c r="E51" s="9"/>
      <c r="F51" s="888"/>
      <c r="G51" s="42"/>
      <c r="H51" s="721"/>
      <c r="I51" s="26"/>
    </row>
    <row r="52" spans="1:12" s="21" customFormat="1" ht="15">
      <c r="A52" s="53">
        <v>122</v>
      </c>
      <c r="B52" s="44"/>
      <c r="C52" s="44"/>
      <c r="D52" s="23" t="str">
        <f>'ATT H-2A'!C208</f>
        <v>Weighted Cost of Debt</v>
      </c>
      <c r="E52" s="648"/>
      <c r="F52" s="55" t="str">
        <f>'ATT H-2A'!D208</f>
        <v>Total Long Term Debt (WCLTD)</v>
      </c>
      <c r="G52" s="42" t="s">
        <v>735</v>
      </c>
      <c r="H52" s="890"/>
      <c r="I52" s="981">
        <f>I48*I44</f>
        <v>1.9337633915450254E-2</v>
      </c>
    </row>
    <row r="53" spans="1:12" s="21" customFormat="1" ht="15">
      <c r="A53" s="53">
        <v>123</v>
      </c>
      <c r="B53" s="44"/>
      <c r="C53" s="44"/>
      <c r="D53" s="23" t="str">
        <f>'ATT H-2A'!C209</f>
        <v>Weighted Cost of Preferred</v>
      </c>
      <c r="E53" s="847"/>
      <c r="F53" s="55" t="str">
        <f>'ATT H-2A'!D209</f>
        <v>Preferred Stock</v>
      </c>
      <c r="G53" s="42" t="s">
        <v>736</v>
      </c>
      <c r="H53" s="49"/>
      <c r="I53" s="981">
        <f>I49*I45</f>
        <v>0</v>
      </c>
    </row>
    <row r="54" spans="1:12" s="21" customFormat="1" ht="15">
      <c r="A54" s="53">
        <v>124</v>
      </c>
      <c r="B54" s="44"/>
      <c r="C54" s="44"/>
      <c r="D54" s="71" t="str">
        <f>'ATT H-2A'!C210</f>
        <v>Weighted Cost of Common</v>
      </c>
      <c r="E54" s="854"/>
      <c r="F54" s="71" t="str">
        <f>'ATT H-2A'!D210</f>
        <v>Common Stock</v>
      </c>
      <c r="G54" s="70" t="s">
        <v>737</v>
      </c>
      <c r="H54" s="891"/>
      <c r="I54" s="892">
        <f>I50*I46</f>
        <v>6.0641468311719592E-2</v>
      </c>
    </row>
    <row r="55" spans="1:12" s="21" customFormat="1" ht="15.75">
      <c r="A55" s="53">
        <v>125</v>
      </c>
      <c r="B55" s="44"/>
      <c r="C55" s="44" t="str">
        <f>'ATT H-2A'!B211</f>
        <v>Total Return ( R )</v>
      </c>
      <c r="D55" s="44"/>
      <c r="E55" s="97"/>
      <c r="F55" s="60"/>
      <c r="G55" s="652" t="s">
        <v>738</v>
      </c>
      <c r="H55" s="62"/>
      <c r="I55" s="52">
        <f>SUM(I52:I54)</f>
        <v>7.9979102227169849E-2</v>
      </c>
    </row>
    <row r="56" spans="1:12" s="21" customFormat="1" ht="15.75">
      <c r="A56" s="19"/>
      <c r="B56" s="44"/>
      <c r="C56" s="44"/>
      <c r="D56" s="44"/>
      <c r="E56" s="97"/>
      <c r="F56" s="60"/>
      <c r="G56" s="652"/>
      <c r="H56" s="62"/>
      <c r="I56" s="52"/>
    </row>
    <row r="57" spans="1:12" s="21" customFormat="1" ht="16.5" thickBot="1">
      <c r="A57" s="53">
        <v>126</v>
      </c>
      <c r="B57" s="44"/>
      <c r="C57" s="44" t="str">
        <f>'ATT H-2A'!B213</f>
        <v>Investment Return = Rate Base * Rate of Return</v>
      </c>
      <c r="D57" s="44"/>
      <c r="E57" s="83"/>
      <c r="F57" s="85"/>
      <c r="G57" s="653" t="s">
        <v>739</v>
      </c>
      <c r="H57" s="87"/>
      <c r="I57" s="16">
        <f>+I55*I16</f>
        <v>70969493.874015361</v>
      </c>
    </row>
    <row r="58" spans="1:12" s="21" customFormat="1" ht="15.75" thickTop="1">
      <c r="A58" s="8"/>
      <c r="B58" s="8"/>
      <c r="C58" s="8"/>
      <c r="D58" s="847"/>
      <c r="E58" s="9"/>
      <c r="F58" s="67"/>
      <c r="G58" s="721"/>
      <c r="H58" s="721"/>
      <c r="I58" s="889"/>
    </row>
    <row r="59" spans="1:12" s="843" customFormat="1" ht="15.75">
      <c r="A59" s="871" t="s">
        <v>634</v>
      </c>
      <c r="B59" s="871"/>
      <c r="C59" s="872"/>
      <c r="D59" s="873"/>
      <c r="E59" s="874"/>
      <c r="F59" s="875"/>
      <c r="I59" s="842"/>
    </row>
    <row r="60" spans="1:12" s="21" customFormat="1" ht="15.75">
      <c r="A60" s="25"/>
      <c r="B60" s="25"/>
      <c r="C60" s="8"/>
      <c r="D60" s="7"/>
      <c r="E60" s="26"/>
      <c r="F60" s="505"/>
      <c r="G60" s="9"/>
      <c r="H60" s="9"/>
      <c r="I60" s="13"/>
      <c r="K60" s="902"/>
      <c r="L60" s="902"/>
    </row>
    <row r="61" spans="1:12" s="21" customFormat="1" ht="15.75">
      <c r="A61" s="8" t="s">
        <v>176</v>
      </c>
      <c r="B61" s="8"/>
      <c r="C61" s="103" t="s">
        <v>297</v>
      </c>
      <c r="D61" s="9"/>
      <c r="E61" s="9"/>
      <c r="F61" s="505"/>
      <c r="G61" s="721"/>
      <c r="H61" s="894"/>
      <c r="I61" s="26"/>
    </row>
    <row r="62" spans="1:12" s="21" customFormat="1" ht="15">
      <c r="A62" s="53">
        <v>127</v>
      </c>
      <c r="B62" s="67"/>
      <c r="C62" s="8"/>
      <c r="D62" s="9" t="s">
        <v>295</v>
      </c>
      <c r="E62" s="9"/>
      <c r="F62" s="67"/>
      <c r="G62" s="535">
        <f>+'ATT H-2A'!F218</f>
        <v>0</v>
      </c>
      <c r="H62" s="10"/>
      <c r="I62" s="225">
        <f>+'ATT H-2A'!H218</f>
        <v>0.35</v>
      </c>
    </row>
    <row r="63" spans="1:12" s="21" customFormat="1" ht="15">
      <c r="A63" s="53">
        <v>128</v>
      </c>
      <c r="B63" s="67"/>
      <c r="C63" s="8"/>
      <c r="D63" s="10" t="s">
        <v>294</v>
      </c>
      <c r="E63" s="895"/>
      <c r="F63" s="67"/>
      <c r="G63" s="535">
        <f>+'ATT H-2A'!F219</f>
        <v>0</v>
      </c>
      <c r="H63" s="10"/>
      <c r="I63" s="225">
        <f>+'ATT H-2A'!H219</f>
        <v>8.2500000000000004E-2</v>
      </c>
    </row>
    <row r="64" spans="1:12" s="21" customFormat="1" ht="15">
      <c r="A64" s="53">
        <v>129</v>
      </c>
      <c r="B64" s="67"/>
      <c r="C64" s="8"/>
      <c r="D64" s="10" t="s">
        <v>515</v>
      </c>
      <c r="E64" s="10"/>
      <c r="F64" s="67"/>
      <c r="G64" s="535" t="str">
        <f>+'ATT H-2A'!F220</f>
        <v>Per State Tax Code</v>
      </c>
      <c r="H64" s="10"/>
      <c r="I64" s="225">
        <f>+'ATT H-2A'!H220</f>
        <v>0</v>
      </c>
    </row>
    <row r="65" spans="1:9" s="21" customFormat="1" ht="15">
      <c r="A65" s="53">
        <v>130</v>
      </c>
      <c r="B65" s="67"/>
      <c r="C65" s="8"/>
      <c r="D65" s="10" t="s">
        <v>372</v>
      </c>
      <c r="E65" s="896" t="s">
        <v>390</v>
      </c>
      <c r="F65" s="67"/>
      <c r="H65" s="10"/>
      <c r="I65" s="37">
        <f>IF(I62&gt;0,1-(((1-I63)*(1-I62))/(1-I63*I62*I64)),0)</f>
        <v>0.40362500000000001</v>
      </c>
    </row>
    <row r="66" spans="1:9" s="21" customFormat="1" ht="15">
      <c r="A66" s="53">
        <v>131</v>
      </c>
      <c r="B66" s="67"/>
      <c r="C66" s="8"/>
      <c r="D66" s="10" t="s">
        <v>359</v>
      </c>
      <c r="E66" s="895"/>
      <c r="F66" s="67"/>
      <c r="G66" s="9"/>
      <c r="H66" s="10"/>
      <c r="I66" s="225">
        <f>+I65/(1-I65)</f>
        <v>0.67679731712429259</v>
      </c>
    </row>
    <row r="67" spans="1:9" s="21" customFormat="1" ht="15">
      <c r="A67" s="53"/>
      <c r="B67" s="8"/>
      <c r="C67" s="8"/>
      <c r="D67" s="9"/>
      <c r="E67" s="9"/>
      <c r="F67" s="858"/>
      <c r="G67" s="896"/>
      <c r="H67" s="894"/>
      <c r="I67" s="37"/>
    </row>
    <row r="68" spans="1:9" s="21" customFormat="1" ht="15.75">
      <c r="A68" s="53"/>
      <c r="B68" s="8"/>
      <c r="C68" s="103" t="s">
        <v>292</v>
      </c>
      <c r="D68" s="847"/>
      <c r="E68" s="9"/>
      <c r="F68" s="505"/>
      <c r="G68" s="721"/>
      <c r="H68" s="894"/>
      <c r="I68" s="898"/>
    </row>
    <row r="69" spans="1:9" s="21" customFormat="1" ht="15">
      <c r="A69" s="53">
        <v>132</v>
      </c>
      <c r="B69" s="67"/>
      <c r="C69" s="8"/>
      <c r="D69" s="847" t="s">
        <v>348</v>
      </c>
      <c r="E69" s="9"/>
      <c r="F69" s="850" t="s">
        <v>369</v>
      </c>
      <c r="G69" s="535" t="str">
        <f>+'ATT H-2A'!F225</f>
        <v xml:space="preserve">p266.17f </v>
      </c>
      <c r="H69" s="894"/>
      <c r="I69" s="638">
        <f>+'ATT H-2A'!H225</f>
        <v>-258056</v>
      </c>
    </row>
    <row r="70" spans="1:9" s="21" customFormat="1" ht="15">
      <c r="A70" s="53">
        <v>133</v>
      </c>
      <c r="B70" s="67"/>
      <c r="C70" s="8"/>
      <c r="D70" s="847" t="s">
        <v>358</v>
      </c>
      <c r="E70" s="9"/>
      <c r="F70" s="8"/>
      <c r="G70" s="654" t="s">
        <v>740</v>
      </c>
      <c r="H70" s="894"/>
      <c r="I70" s="898">
        <f>+I66</f>
        <v>0.67679731712429259</v>
      </c>
    </row>
    <row r="71" spans="1:9" s="21" customFormat="1" ht="15.75">
      <c r="A71" s="53">
        <v>134</v>
      </c>
      <c r="B71" s="67"/>
      <c r="C71" s="54"/>
      <c r="D71" s="69" t="s">
        <v>281</v>
      </c>
      <c r="E71" s="70"/>
      <c r="F71" s="131"/>
      <c r="G71" s="655" t="str">
        <f>+'ATT H-2A'!F227</f>
        <v>(Line 18)</v>
      </c>
      <c r="H71" s="57"/>
      <c r="I71" s="98">
        <f>+'ATT H-2A'!H35</f>
        <v>0.23198168156889939</v>
      </c>
    </row>
    <row r="72" spans="1:9" s="21" customFormat="1" ht="15.75">
      <c r="A72" s="53">
        <v>135</v>
      </c>
      <c r="B72" s="67"/>
      <c r="C72" s="8"/>
      <c r="D72" s="107" t="s">
        <v>293</v>
      </c>
      <c r="E72" s="30"/>
      <c r="F72" s="162" t="s">
        <v>389</v>
      </c>
      <c r="G72" s="654" t="s">
        <v>741</v>
      </c>
      <c r="H72" s="59"/>
      <c r="I72" s="549">
        <f>+I69*(1+I70)*I71</f>
        <v>-100380.23864002332</v>
      </c>
    </row>
    <row r="73" spans="1:9" s="21" customFormat="1" ht="15.75">
      <c r="A73" s="53"/>
      <c r="B73" s="8"/>
      <c r="C73" s="8"/>
      <c r="D73" s="129"/>
      <c r="E73" s="56"/>
      <c r="F73" s="176"/>
      <c r="G73" s="173"/>
      <c r="H73" s="57"/>
      <c r="I73" s="174"/>
    </row>
    <row r="74" spans="1:9" s="21" customFormat="1" ht="15.75">
      <c r="A74" s="53"/>
      <c r="B74" s="8"/>
      <c r="C74" s="8"/>
      <c r="D74" s="129"/>
      <c r="E74" s="56"/>
      <c r="F74" s="176"/>
      <c r="G74" s="173"/>
      <c r="H74" s="57"/>
      <c r="I74" s="175"/>
    </row>
    <row r="75" spans="1:9" s="21" customFormat="1" ht="15.75">
      <c r="A75" s="53"/>
      <c r="B75" s="8"/>
      <c r="C75" s="8"/>
      <c r="D75" s="9"/>
      <c r="E75" s="9"/>
      <c r="F75" s="858"/>
      <c r="G75" s="896"/>
      <c r="H75" s="894"/>
      <c r="I75" s="172"/>
    </row>
    <row r="76" spans="1:9" s="21" customFormat="1" ht="15.75">
      <c r="A76" s="53">
        <v>136</v>
      </c>
      <c r="B76" s="67"/>
      <c r="C76" s="1" t="s">
        <v>327</v>
      </c>
      <c r="E76" s="9" t="s">
        <v>332</v>
      </c>
      <c r="F76" s="505"/>
      <c r="G76" s="632"/>
      <c r="H76" s="9"/>
      <c r="I76" s="982">
        <f>+I66*(1-I52/I55)*I57</f>
        <v>36418622.918149628</v>
      </c>
    </row>
    <row r="77" spans="1:9" s="21" customFormat="1" ht="15.75">
      <c r="A77" s="53"/>
      <c r="B77" s="8"/>
      <c r="C77" s="8"/>
      <c r="D77" s="55"/>
      <c r="E77" s="56"/>
      <c r="F77" s="146"/>
      <c r="G77" s="632"/>
      <c r="H77" s="57"/>
      <c r="I77" s="41"/>
    </row>
    <row r="78" spans="1:9" s="21" customFormat="1" ht="16.5" thickBot="1">
      <c r="A78" s="53">
        <v>137</v>
      </c>
      <c r="B78" s="67"/>
      <c r="C78" s="86" t="s">
        <v>143</v>
      </c>
      <c r="D78" s="86"/>
      <c r="E78" s="83"/>
      <c r="F78" s="138"/>
      <c r="G78" s="16"/>
      <c r="H78" s="102"/>
      <c r="I78" s="130">
        <f>+I76+I72</f>
        <v>36318242.679509602</v>
      </c>
    </row>
    <row r="79" spans="1:9" s="21" customFormat="1" ht="15.75" thickTop="1">
      <c r="A79" s="8"/>
      <c r="B79" s="8"/>
      <c r="C79" s="8"/>
      <c r="D79" s="896"/>
      <c r="E79" s="9"/>
      <c r="F79" s="67"/>
      <c r="G79" s="640"/>
      <c r="H79" s="899"/>
      <c r="I79" s="900"/>
    </row>
    <row r="80" spans="1:9" s="21" customFormat="1" ht="15"/>
    <row r="309" spans="1:6">
      <c r="A309" s="631"/>
      <c r="B309" s="631"/>
      <c r="C309" s="631"/>
      <c r="D309" s="631"/>
      <c r="E309" s="631"/>
      <c r="F309" s="631"/>
    </row>
    <row r="310" spans="1:6">
      <c r="A310" s="631"/>
      <c r="B310" s="631"/>
      <c r="C310" s="631"/>
      <c r="D310" s="631"/>
      <c r="E310" s="631"/>
      <c r="F310" s="631"/>
    </row>
    <row r="311" spans="1:6">
      <c r="A311" s="631"/>
      <c r="B311" s="631"/>
      <c r="C311" s="631"/>
      <c r="D311" s="631"/>
      <c r="E311" s="631"/>
      <c r="F311" s="631"/>
    </row>
    <row r="312" spans="1:6">
      <c r="A312" s="631"/>
      <c r="B312" s="631"/>
      <c r="C312" s="631"/>
      <c r="D312" s="631"/>
      <c r="E312" s="631"/>
      <c r="F312" s="631"/>
    </row>
    <row r="313" spans="1:6">
      <c r="A313" s="631"/>
      <c r="B313" s="631"/>
      <c r="C313" s="631"/>
      <c r="D313" s="631"/>
      <c r="E313" s="631"/>
      <c r="F313" s="631"/>
    </row>
    <row r="314" spans="1:6">
      <c r="A314" s="631"/>
      <c r="B314" s="631"/>
      <c r="C314" s="631"/>
      <c r="D314" s="631"/>
      <c r="E314" s="631"/>
      <c r="F314" s="631"/>
    </row>
    <row r="315" spans="1:6">
      <c r="A315" s="631"/>
      <c r="B315" s="631"/>
      <c r="C315" s="631"/>
      <c r="D315" s="631"/>
      <c r="E315" s="631"/>
      <c r="F315" s="631"/>
    </row>
    <row r="316" spans="1:6">
      <c r="A316" s="631"/>
      <c r="B316" s="631"/>
      <c r="C316" s="631"/>
      <c r="D316" s="631"/>
      <c r="E316" s="631"/>
      <c r="F316" s="631"/>
    </row>
    <row r="317" spans="1:6">
      <c r="A317" s="631"/>
      <c r="B317" s="631"/>
      <c r="C317" s="631"/>
      <c r="D317" s="631"/>
      <c r="E317" s="631"/>
      <c r="F317" s="631"/>
    </row>
  </sheetData>
  <mergeCells count="2">
    <mergeCell ref="A3:G3"/>
    <mergeCell ref="A1:G1"/>
  </mergeCells>
  <phoneticPr fontId="0" type="noConversion"/>
  <printOptions horizontalCentered="1"/>
  <pageMargins left="0.75" right="0.75" top="1" bottom="0.75" header="0.5" footer="0.5"/>
  <pageSetup scale="42" orientation="portrait" r:id="rId1"/>
  <headerFooter alignWithMargins="0">
    <oddHeader>&amp;R&amp;"Times New Roman,Bold"&amp;16Appendix A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4"/>
  <sheetViews>
    <sheetView view="pageBreakPreview" topLeftCell="A16" zoomScaleNormal="100" workbookViewId="0">
      <selection activeCell="F35" sqref="F35"/>
    </sheetView>
  </sheetViews>
  <sheetFormatPr defaultRowHeight="12.75"/>
  <cols>
    <col min="1" max="1" width="15.140625" customWidth="1"/>
    <col min="2" max="2" width="13" style="178" customWidth="1"/>
    <col min="3" max="3" width="13.42578125" customWidth="1"/>
    <col min="4" max="4" width="10.5703125" bestFit="1" customWidth="1"/>
    <col min="5" max="5" width="9.85546875" bestFit="1" customWidth="1"/>
    <col min="6" max="6" width="9" style="202" bestFit="1" customWidth="1"/>
    <col min="7" max="7" width="10.42578125" bestFit="1" customWidth="1"/>
    <col min="8" max="8" width="10.5703125" bestFit="1" customWidth="1"/>
    <col min="9" max="9" width="9.85546875" bestFit="1" customWidth="1"/>
    <col min="10" max="10" width="9" style="202" bestFit="1" customWidth="1"/>
    <col min="11" max="11" width="10.42578125" bestFit="1" customWidth="1"/>
    <col min="12" max="12" width="10.5703125" bestFit="1" customWidth="1"/>
    <col min="13" max="13" width="9.85546875" bestFit="1" customWidth="1"/>
    <col min="14" max="14" width="9" bestFit="1" customWidth="1"/>
    <col min="15" max="15" width="12" hidden="1" customWidth="1"/>
    <col min="16" max="16" width="12.5703125" hidden="1" customWidth="1"/>
    <col min="17" max="17" width="11.28515625" hidden="1" customWidth="1"/>
    <col min="18" max="18" width="10.28515625" hidden="1" customWidth="1"/>
    <col min="19" max="19" width="12" hidden="1" customWidth="1"/>
    <col min="20" max="20" width="12.5703125" hidden="1" customWidth="1"/>
    <col min="21" max="21" width="11.28515625" hidden="1" customWidth="1"/>
    <col min="22" max="22" width="10.28515625" hidden="1" customWidth="1"/>
    <col min="23" max="23" width="12" hidden="1" customWidth="1"/>
    <col min="24" max="24" width="12.5703125" hidden="1" customWidth="1"/>
    <col min="25" max="25" width="11.28515625" hidden="1" customWidth="1"/>
    <col min="26" max="26" width="10.28515625" hidden="1" customWidth="1"/>
    <col min="27" max="27" width="12" hidden="1" customWidth="1"/>
    <col min="28" max="28" width="12.5703125" hidden="1" customWidth="1"/>
    <col min="29" max="29" width="11.28515625" hidden="1" customWidth="1"/>
    <col min="30" max="30" width="10.28515625" hidden="1" customWidth="1"/>
    <col min="31" max="31" width="12" hidden="1" customWidth="1"/>
    <col min="32" max="32" width="12.5703125" hidden="1" customWidth="1"/>
    <col min="33" max="33" width="11.28515625" hidden="1" customWidth="1"/>
    <col min="34" max="34" width="10.28515625" hidden="1" customWidth="1"/>
    <col min="35" max="35" width="12" hidden="1" customWidth="1"/>
    <col min="36" max="36" width="12.5703125" hidden="1" customWidth="1"/>
    <col min="37" max="37" width="11.28515625" hidden="1" customWidth="1"/>
    <col min="38" max="38" width="10.28515625" hidden="1" customWidth="1"/>
    <col min="39" max="39" width="13.7109375" bestFit="1" customWidth="1"/>
    <col min="40" max="40" width="15" bestFit="1" customWidth="1"/>
    <col min="41" max="41" width="12.5703125" bestFit="1" customWidth="1"/>
  </cols>
  <sheetData>
    <row r="1" spans="1:41">
      <c r="A1" s="1079" t="s">
        <v>618</v>
      </c>
      <c r="B1" s="1079"/>
      <c r="C1" s="1079"/>
      <c r="D1" s="1079"/>
      <c r="E1" s="1079"/>
      <c r="F1" s="1079"/>
      <c r="G1" s="1079"/>
      <c r="H1" s="1079"/>
      <c r="I1" s="1079"/>
      <c r="J1" s="1079"/>
      <c r="K1" s="1079"/>
      <c r="L1" s="1079"/>
      <c r="M1" s="1079"/>
      <c r="N1" s="1079"/>
      <c r="O1" s="1079"/>
      <c r="P1" s="1079"/>
      <c r="Q1" s="1079"/>
      <c r="R1" s="1079"/>
      <c r="S1" s="1079"/>
      <c r="T1" s="1079"/>
      <c r="U1" s="1079"/>
      <c r="V1" s="1079"/>
      <c r="W1" s="1079"/>
      <c r="X1" s="1079"/>
      <c r="Y1" s="1079"/>
      <c r="Z1" s="1079"/>
      <c r="AA1" s="1079"/>
      <c r="AB1" s="1079"/>
      <c r="AC1" s="1079"/>
      <c r="AD1" s="1079"/>
      <c r="AE1" s="1079"/>
      <c r="AF1" s="1079"/>
      <c r="AG1" s="1079"/>
      <c r="AH1" s="1079"/>
      <c r="AI1" s="1079"/>
      <c r="AJ1" s="1079"/>
      <c r="AK1" s="1079"/>
      <c r="AL1" s="1079"/>
      <c r="AM1" s="1079"/>
      <c r="AN1" s="1079"/>
      <c r="AO1" s="1079"/>
    </row>
    <row r="3" spans="1:41">
      <c r="A3" s="187" t="s">
        <v>617</v>
      </c>
    </row>
    <row r="6" spans="1:41">
      <c r="A6" t="s">
        <v>501</v>
      </c>
    </row>
    <row r="8" spans="1:41">
      <c r="A8" s="212" t="s">
        <v>469</v>
      </c>
    </row>
    <row r="9" spans="1:41">
      <c r="A9" s="212"/>
      <c r="B9" s="178" t="s">
        <v>499</v>
      </c>
    </row>
    <row r="10" spans="1:41">
      <c r="A10" s="178" t="s">
        <v>178</v>
      </c>
      <c r="B10" s="178">
        <f>+'ATT H-2A'!A269</f>
        <v>159</v>
      </c>
      <c r="C10" s="2" t="str">
        <f>+'ATT H-2A'!C269</f>
        <v>Net Plant Carrying Charge without Depreciation</v>
      </c>
      <c r="D10" s="2"/>
      <c r="F10" s="210"/>
      <c r="L10" s="211" t="e">
        <f>+'ATT H-2A'!#REF!</f>
        <v>#REF!</v>
      </c>
    </row>
    <row r="11" spans="1:41">
      <c r="A11" s="178" t="s">
        <v>341</v>
      </c>
      <c r="B11" s="178">
        <f>+'ATT H-2A'!A279</f>
        <v>166</v>
      </c>
      <c r="C11" s="2" t="str">
        <f>+'ATT H-2A'!C279</f>
        <v>Net Plant Carrying Charge per 100 basis point increase in ROE without Depreciation</v>
      </c>
      <c r="D11" s="2"/>
      <c r="F11" s="210"/>
      <c r="L11" s="211" t="e">
        <f>+'ATT H-2A'!#REF!</f>
        <v>#REF!</v>
      </c>
    </row>
    <row r="12" spans="1:41">
      <c r="A12" s="178" t="s">
        <v>150</v>
      </c>
      <c r="C12" t="s">
        <v>471</v>
      </c>
      <c r="F12" s="210"/>
      <c r="L12" s="211" t="e">
        <f>+L11-L10</f>
        <v>#REF!</v>
      </c>
    </row>
    <row r="13" spans="1:41">
      <c r="F13" s="210"/>
      <c r="L13" s="211"/>
    </row>
    <row r="14" spans="1:41">
      <c r="A14" s="212" t="s">
        <v>468</v>
      </c>
      <c r="F14" s="210"/>
      <c r="L14" s="211"/>
    </row>
    <row r="15" spans="1:41">
      <c r="A15" s="212"/>
      <c r="F15" s="210"/>
      <c r="L15" s="211"/>
    </row>
    <row r="16" spans="1:41">
      <c r="A16" s="178" t="s">
        <v>179</v>
      </c>
      <c r="B16" s="178">
        <f>+'ATT H-2A'!A270</f>
        <v>160</v>
      </c>
      <c r="C16" s="2" t="str">
        <f>+'ATT H-2A'!C270</f>
        <v>Net Plant Carrying Charge without Depreciation, Return, nor Income Taxes</v>
      </c>
      <c r="D16" s="2"/>
      <c r="F16" s="210"/>
      <c r="L16" s="211" t="e">
        <f>+'ATT H-2A'!#REF!</f>
        <v>#REF!</v>
      </c>
    </row>
    <row r="18" spans="1:41">
      <c r="A18" s="187" t="s">
        <v>637</v>
      </c>
    </row>
    <row r="19" spans="1:41">
      <c r="A19" s="187" t="s">
        <v>638</v>
      </c>
    </row>
    <row r="20" spans="1:41" ht="13.5" thickBot="1"/>
    <row r="21" spans="1:41">
      <c r="A21" s="420" t="s">
        <v>462</v>
      </c>
      <c r="B21" s="421"/>
      <c r="C21" s="422" t="s">
        <v>459</v>
      </c>
      <c r="D21" s="423" t="str">
        <f>+C21</f>
        <v>Project A</v>
      </c>
      <c r="E21" s="423" t="str">
        <f>+D21</f>
        <v>Project A</v>
      </c>
      <c r="F21" s="424" t="str">
        <f>+E21</f>
        <v>Project A</v>
      </c>
      <c r="G21" s="422" t="s">
        <v>487</v>
      </c>
      <c r="H21" s="423" t="s">
        <v>487</v>
      </c>
      <c r="I21" s="423" t="s">
        <v>487</v>
      </c>
      <c r="J21" s="424" t="s">
        <v>487</v>
      </c>
      <c r="K21" s="422" t="s">
        <v>488</v>
      </c>
      <c r="L21" s="423" t="str">
        <f>+K21</f>
        <v>Project C</v>
      </c>
      <c r="M21" s="423" t="str">
        <f>+L21</f>
        <v>Project C</v>
      </c>
      <c r="N21" s="425" t="str">
        <f>+M21</f>
        <v>Project C</v>
      </c>
      <c r="O21" s="422" t="s">
        <v>489</v>
      </c>
      <c r="P21" s="423" t="str">
        <f>+O21</f>
        <v>Project D</v>
      </c>
      <c r="Q21" s="423" t="str">
        <f>+P21</f>
        <v>Project D</v>
      </c>
      <c r="R21" s="425" t="str">
        <f>+Q21</f>
        <v>Project D</v>
      </c>
      <c r="S21" s="422" t="s">
        <v>490</v>
      </c>
      <c r="T21" s="423" t="str">
        <f>+S21</f>
        <v>Project E</v>
      </c>
      <c r="U21" s="423" t="str">
        <f>+T21</f>
        <v>Project E</v>
      </c>
      <c r="V21" s="425" t="str">
        <f>+U21</f>
        <v>Project E</v>
      </c>
      <c r="W21" s="422" t="s">
        <v>491</v>
      </c>
      <c r="X21" s="423" t="str">
        <f>+W21</f>
        <v>Project F</v>
      </c>
      <c r="Y21" s="423" t="str">
        <f>+X21</f>
        <v>Project F</v>
      </c>
      <c r="Z21" s="425" t="str">
        <f>+Y21</f>
        <v>Project F</v>
      </c>
      <c r="AA21" s="422" t="s">
        <v>492</v>
      </c>
      <c r="AB21" s="423" t="str">
        <f>+AA21</f>
        <v>Project G</v>
      </c>
      <c r="AC21" s="423" t="str">
        <f>+AB21</f>
        <v>Project G</v>
      </c>
      <c r="AD21" s="425" t="str">
        <f>+AC21</f>
        <v>Project G</v>
      </c>
      <c r="AE21" s="422" t="s">
        <v>493</v>
      </c>
      <c r="AF21" s="423" t="str">
        <f>+AE21</f>
        <v>Project H</v>
      </c>
      <c r="AG21" s="423" t="str">
        <f>+AF21</f>
        <v>Project H</v>
      </c>
      <c r="AH21" s="425" t="str">
        <f>+AG21</f>
        <v>Project H</v>
      </c>
      <c r="AI21" s="422" t="s">
        <v>494</v>
      </c>
      <c r="AJ21" s="423" t="str">
        <f>+AI21</f>
        <v>Project I</v>
      </c>
      <c r="AK21" s="423" t="str">
        <f>+AJ21</f>
        <v>Project I</v>
      </c>
      <c r="AL21" s="425" t="str">
        <f>+AK21</f>
        <v>Project I</v>
      </c>
      <c r="AM21" s="472"/>
      <c r="AN21" s="183"/>
      <c r="AO21" s="183"/>
    </row>
    <row r="22" spans="1:41">
      <c r="A22" s="379" t="s">
        <v>460</v>
      </c>
      <c r="B22" s="426"/>
      <c r="C22" s="427">
        <v>30</v>
      </c>
      <c r="D22" s="426"/>
      <c r="E22" s="426"/>
      <c r="F22" s="428"/>
      <c r="G22" s="427">
        <v>35</v>
      </c>
      <c r="H22" s="426"/>
      <c r="I22" s="426"/>
      <c r="J22" s="428"/>
      <c r="K22" s="427">
        <v>40</v>
      </c>
      <c r="L22" s="426"/>
      <c r="M22" s="426"/>
      <c r="N22" s="429"/>
      <c r="O22" s="427">
        <v>40</v>
      </c>
      <c r="P22" s="426"/>
      <c r="Q22" s="426"/>
      <c r="R22" s="429"/>
      <c r="S22" s="427">
        <v>40</v>
      </c>
      <c r="T22" s="426"/>
      <c r="U22" s="426"/>
      <c r="V22" s="429"/>
      <c r="W22" s="427">
        <v>40</v>
      </c>
      <c r="X22" s="426"/>
      <c r="Y22" s="426"/>
      <c r="Z22" s="429"/>
      <c r="AA22" s="427">
        <v>35</v>
      </c>
      <c r="AB22" s="426"/>
      <c r="AC22" s="426"/>
      <c r="AD22" s="429"/>
      <c r="AE22" s="427">
        <v>25</v>
      </c>
      <c r="AF22" s="426"/>
      <c r="AG22" s="426"/>
      <c r="AH22" s="429"/>
      <c r="AI22" s="427">
        <v>30</v>
      </c>
      <c r="AJ22" s="426"/>
      <c r="AK22" s="426"/>
      <c r="AL22" s="429"/>
      <c r="AM22" s="377"/>
      <c r="AN22" s="183"/>
      <c r="AO22" s="183"/>
    </row>
    <row r="23" spans="1:41">
      <c r="A23" s="379" t="s">
        <v>461</v>
      </c>
      <c r="B23" s="426"/>
      <c r="C23" s="427" t="s">
        <v>465</v>
      </c>
      <c r="D23" s="426"/>
      <c r="E23" s="426"/>
      <c r="F23" s="428"/>
      <c r="G23" s="427" t="s">
        <v>465</v>
      </c>
      <c r="H23" s="426"/>
      <c r="I23" s="426"/>
      <c r="J23" s="428"/>
      <c r="K23" s="427" t="s">
        <v>466</v>
      </c>
      <c r="L23" s="426"/>
      <c r="M23" s="426"/>
      <c r="N23" s="429"/>
      <c r="O23" s="427" t="s">
        <v>465</v>
      </c>
      <c r="P23" s="426"/>
      <c r="Q23" s="426"/>
      <c r="R23" s="429"/>
      <c r="S23" s="427" t="s">
        <v>465</v>
      </c>
      <c r="T23" s="426"/>
      <c r="U23" s="426"/>
      <c r="V23" s="429"/>
      <c r="W23" s="427" t="s">
        <v>465</v>
      </c>
      <c r="X23" s="426"/>
      <c r="Y23" s="426"/>
      <c r="Z23" s="429"/>
      <c r="AA23" s="427" t="s">
        <v>466</v>
      </c>
      <c r="AB23" s="426"/>
      <c r="AC23" s="426"/>
      <c r="AD23" s="429"/>
      <c r="AE23" s="427" t="s">
        <v>466</v>
      </c>
      <c r="AF23" s="426"/>
      <c r="AG23" s="426"/>
      <c r="AH23" s="429"/>
      <c r="AI23" s="427" t="s">
        <v>465</v>
      </c>
      <c r="AJ23" s="426"/>
      <c r="AK23" s="426"/>
      <c r="AL23" s="429"/>
      <c r="AM23" s="377"/>
      <c r="AN23" s="183"/>
      <c r="AO23" s="183"/>
    </row>
    <row r="24" spans="1:41">
      <c r="A24" s="379" t="s">
        <v>464</v>
      </c>
      <c r="B24" s="426"/>
      <c r="C24" s="427">
        <v>50</v>
      </c>
      <c r="D24" s="426"/>
      <c r="E24" s="426"/>
      <c r="F24" s="428"/>
      <c r="G24" s="427">
        <v>0</v>
      </c>
      <c r="H24" s="426"/>
      <c r="I24" s="426"/>
      <c r="J24" s="428"/>
      <c r="K24" s="427">
        <v>100</v>
      </c>
      <c r="L24" s="426"/>
      <c r="M24" s="426"/>
      <c r="N24" s="429"/>
      <c r="O24" s="427">
        <v>150</v>
      </c>
      <c r="P24" s="426"/>
      <c r="Q24" s="426"/>
      <c r="R24" s="429"/>
      <c r="S24" s="427">
        <v>100</v>
      </c>
      <c r="T24" s="426"/>
      <c r="U24" s="426"/>
      <c r="V24" s="429"/>
      <c r="W24" s="427">
        <v>50</v>
      </c>
      <c r="X24" s="426"/>
      <c r="Y24" s="426"/>
      <c r="Z24" s="429"/>
      <c r="AA24" s="427">
        <v>100</v>
      </c>
      <c r="AB24" s="426"/>
      <c r="AC24" s="426"/>
      <c r="AD24" s="429"/>
      <c r="AE24" s="427">
        <v>150</v>
      </c>
      <c r="AF24" s="426"/>
      <c r="AG24" s="426"/>
      <c r="AH24" s="429"/>
      <c r="AI24" s="427">
        <v>50</v>
      </c>
      <c r="AJ24" s="426"/>
      <c r="AK24" s="426"/>
      <c r="AL24" s="429"/>
      <c r="AM24" s="377"/>
      <c r="AN24" s="183"/>
      <c r="AO24" s="183"/>
    </row>
    <row r="25" spans="1:41">
      <c r="A25" s="379" t="s">
        <v>482</v>
      </c>
      <c r="B25" s="426"/>
      <c r="C25" s="379" t="e">
        <f>+$L10</f>
        <v>#REF!</v>
      </c>
      <c r="D25" s="185"/>
      <c r="E25" s="185"/>
      <c r="F25" s="430"/>
      <c r="G25" s="379" t="e">
        <f>+$L10</f>
        <v>#REF!</v>
      </c>
      <c r="H25" s="185"/>
      <c r="I25" s="185"/>
      <c r="J25" s="430"/>
      <c r="K25" s="427" t="e">
        <f>$L16</f>
        <v>#REF!</v>
      </c>
      <c r="L25" s="426"/>
      <c r="M25" s="426"/>
      <c r="N25" s="429"/>
      <c r="O25" s="379" t="e">
        <f>+$L10</f>
        <v>#REF!</v>
      </c>
      <c r="P25" s="185"/>
      <c r="Q25" s="185"/>
      <c r="R25" s="377"/>
      <c r="S25" s="379" t="e">
        <f>+$L10</f>
        <v>#REF!</v>
      </c>
      <c r="T25" s="185"/>
      <c r="U25" s="185"/>
      <c r="V25" s="377"/>
      <c r="W25" s="379" t="e">
        <f>+$L10</f>
        <v>#REF!</v>
      </c>
      <c r="X25" s="185"/>
      <c r="Y25" s="185"/>
      <c r="Z25" s="377"/>
      <c r="AA25" s="427" t="e">
        <f>$L16</f>
        <v>#REF!</v>
      </c>
      <c r="AB25" s="426"/>
      <c r="AC25" s="426"/>
      <c r="AD25" s="429"/>
      <c r="AE25" s="427" t="e">
        <f>$L16</f>
        <v>#REF!</v>
      </c>
      <c r="AF25" s="426"/>
      <c r="AG25" s="426"/>
      <c r="AH25" s="429"/>
      <c r="AI25" s="379" t="e">
        <f>+$L10</f>
        <v>#REF!</v>
      </c>
      <c r="AJ25" s="185"/>
      <c r="AK25" s="185"/>
      <c r="AL25" s="377"/>
      <c r="AM25" s="377"/>
      <c r="AN25" s="183"/>
      <c r="AO25" s="183"/>
    </row>
    <row r="26" spans="1:41">
      <c r="A26" s="379" t="s">
        <v>470</v>
      </c>
      <c r="B26" s="426"/>
      <c r="C26" s="379" t="e">
        <f>($L10+$L12/100*C24)</f>
        <v>#REF!</v>
      </c>
      <c r="D26" s="185"/>
      <c r="E26" s="185"/>
      <c r="F26" s="430"/>
      <c r="G26" s="379" t="e">
        <f>($L10+$L12/100*G24)</f>
        <v>#REF!</v>
      </c>
      <c r="H26" s="185"/>
      <c r="I26" s="185"/>
      <c r="J26" s="430"/>
      <c r="K26" s="379" t="e">
        <f>+L16</f>
        <v>#REF!</v>
      </c>
      <c r="L26" s="185"/>
      <c r="M26" s="185"/>
      <c r="N26" s="377"/>
      <c r="O26" s="379" t="e">
        <f>($L10+$L12/100*O24)</f>
        <v>#REF!</v>
      </c>
      <c r="P26" s="185"/>
      <c r="Q26" s="185"/>
      <c r="R26" s="377"/>
      <c r="S26" s="379" t="e">
        <f>($L10+$L12/100*S24)</f>
        <v>#REF!</v>
      </c>
      <c r="T26" s="185"/>
      <c r="U26" s="185"/>
      <c r="V26" s="377"/>
      <c r="W26" s="379" t="e">
        <f>($L10+$L12/100*W24)</f>
        <v>#REF!</v>
      </c>
      <c r="X26" s="185"/>
      <c r="Y26" s="185"/>
      <c r="Z26" s="377"/>
      <c r="AA26" s="379" t="e">
        <f>+L16</f>
        <v>#REF!</v>
      </c>
      <c r="AB26" s="185"/>
      <c r="AC26" s="185"/>
      <c r="AD26" s="377"/>
      <c r="AE26" s="379" t="e">
        <f>+L16</f>
        <v>#REF!</v>
      </c>
      <c r="AF26" s="185"/>
      <c r="AG26" s="185"/>
      <c r="AH26" s="377"/>
      <c r="AI26" s="379" t="e">
        <f>($L10+$L12/100*AI24)</f>
        <v>#REF!</v>
      </c>
      <c r="AJ26" s="185"/>
      <c r="AK26" s="185"/>
      <c r="AL26" s="377"/>
      <c r="AM26" s="377"/>
      <c r="AN26" s="183"/>
      <c r="AO26" s="183"/>
    </row>
    <row r="27" spans="1:41">
      <c r="A27" s="379" t="s">
        <v>472</v>
      </c>
      <c r="B27" s="426"/>
      <c r="C27" s="431">
        <v>20000000</v>
      </c>
      <c r="D27" s="432"/>
      <c r="E27" s="432"/>
      <c r="F27" s="430"/>
      <c r="G27" s="431">
        <v>30000000</v>
      </c>
      <c r="H27" s="432"/>
      <c r="I27" s="432"/>
      <c r="J27" s="430"/>
      <c r="K27" s="431">
        <v>20000000</v>
      </c>
      <c r="L27" s="432"/>
      <c r="M27" s="432"/>
      <c r="N27" s="430"/>
      <c r="O27" s="431">
        <v>30000000</v>
      </c>
      <c r="P27" s="432"/>
      <c r="Q27" s="432"/>
      <c r="R27" s="430"/>
      <c r="S27" s="431">
        <v>20000000</v>
      </c>
      <c r="T27" s="432"/>
      <c r="U27" s="432"/>
      <c r="V27" s="430"/>
      <c r="W27" s="431">
        <v>30000000</v>
      </c>
      <c r="X27" s="432"/>
      <c r="Y27" s="432"/>
      <c r="Z27" s="430"/>
      <c r="AA27" s="431">
        <v>20000000</v>
      </c>
      <c r="AB27" s="432"/>
      <c r="AC27" s="432"/>
      <c r="AD27" s="430"/>
      <c r="AE27" s="431">
        <v>30000000</v>
      </c>
      <c r="AF27" s="432"/>
      <c r="AG27" s="432"/>
      <c r="AH27" s="430"/>
      <c r="AI27" s="431">
        <v>20000000</v>
      </c>
      <c r="AJ27" s="432"/>
      <c r="AK27" s="432"/>
      <c r="AL27" s="430"/>
      <c r="AM27" s="377"/>
      <c r="AN27" s="183"/>
      <c r="AO27" s="183"/>
    </row>
    <row r="28" spans="1:41">
      <c r="A28" s="379" t="s">
        <v>473</v>
      </c>
      <c r="B28" s="426"/>
      <c r="C28" s="431">
        <f>+C27/C22</f>
        <v>666666.66666666663</v>
      </c>
      <c r="D28" s="432"/>
      <c r="E28" s="432"/>
      <c r="F28" s="430"/>
      <c r="G28" s="431">
        <f>+G27/G22</f>
        <v>857142.85714285716</v>
      </c>
      <c r="H28" s="432"/>
      <c r="I28" s="432"/>
      <c r="J28" s="430"/>
      <c r="K28" s="431">
        <f>+K27/K22</f>
        <v>500000</v>
      </c>
      <c r="L28" s="432"/>
      <c r="M28" s="432"/>
      <c r="N28" s="430"/>
      <c r="O28" s="431">
        <f>+O27/O22</f>
        <v>750000</v>
      </c>
      <c r="P28" s="432"/>
      <c r="Q28" s="432"/>
      <c r="R28" s="430"/>
      <c r="S28" s="431">
        <f>+S27/S22</f>
        <v>500000</v>
      </c>
      <c r="T28" s="432"/>
      <c r="U28" s="432"/>
      <c r="V28" s="430"/>
      <c r="W28" s="431">
        <f>+W27/W22</f>
        <v>750000</v>
      </c>
      <c r="X28" s="432"/>
      <c r="Y28" s="432"/>
      <c r="Z28" s="430"/>
      <c r="AA28" s="431">
        <f>+AA27/AA22</f>
        <v>571428.57142857148</v>
      </c>
      <c r="AB28" s="432"/>
      <c r="AC28" s="432"/>
      <c r="AD28" s="430"/>
      <c r="AE28" s="431">
        <f>+AE27/AE22</f>
        <v>1200000</v>
      </c>
      <c r="AF28" s="432"/>
      <c r="AG28" s="432"/>
      <c r="AH28" s="430"/>
      <c r="AI28" s="431">
        <f>+AI27/AI22</f>
        <v>666666.66666666663</v>
      </c>
      <c r="AJ28" s="432"/>
      <c r="AK28" s="432"/>
      <c r="AL28" s="430"/>
      <c r="AM28" s="377"/>
      <c r="AN28" s="183"/>
      <c r="AO28" s="183"/>
    </row>
    <row r="29" spans="1:41" s="2" customFormat="1">
      <c r="A29" s="462" t="s">
        <v>577</v>
      </c>
      <c r="B29" s="399"/>
      <c r="C29" s="463">
        <v>6</v>
      </c>
      <c r="D29" s="464"/>
      <c r="E29" s="464"/>
      <c r="F29" s="465"/>
      <c r="G29" s="463">
        <v>3</v>
      </c>
      <c r="H29" s="464"/>
      <c r="I29" s="464"/>
      <c r="J29" s="465"/>
      <c r="K29" s="463">
        <v>9</v>
      </c>
      <c r="L29" s="464"/>
      <c r="M29" s="464"/>
      <c r="N29" s="465"/>
      <c r="O29" s="463">
        <v>10</v>
      </c>
      <c r="P29" s="464"/>
      <c r="Q29" s="464"/>
      <c r="R29" s="465"/>
      <c r="S29" s="463">
        <v>2</v>
      </c>
      <c r="T29" s="464"/>
      <c r="U29" s="464"/>
      <c r="V29" s="465"/>
      <c r="W29" s="463">
        <v>4</v>
      </c>
      <c r="X29" s="464"/>
      <c r="Y29" s="464"/>
      <c r="Z29" s="465"/>
      <c r="AA29" s="463">
        <v>11</v>
      </c>
      <c r="AB29" s="464"/>
      <c r="AC29" s="464"/>
      <c r="AD29" s="465"/>
      <c r="AE29" s="463">
        <v>8</v>
      </c>
      <c r="AF29" s="464"/>
      <c r="AG29" s="464"/>
      <c r="AH29" s="465"/>
      <c r="AI29" s="463">
        <v>9</v>
      </c>
      <c r="AJ29" s="464"/>
      <c r="AK29" s="464"/>
      <c r="AL29" s="465"/>
      <c r="AM29" s="473"/>
      <c r="AN29" s="184"/>
      <c r="AO29" s="184"/>
    </row>
    <row r="30" spans="1:41" ht="13.5" thickBot="1">
      <c r="A30" s="384"/>
      <c r="B30" s="433"/>
      <c r="C30" s="434"/>
      <c r="D30" s="435"/>
      <c r="E30" s="435"/>
      <c r="F30" s="436"/>
      <c r="G30" s="434"/>
      <c r="H30" s="435"/>
      <c r="I30" s="435"/>
      <c r="J30" s="436"/>
      <c r="K30" s="434"/>
      <c r="L30" s="435"/>
      <c r="M30" s="435"/>
      <c r="N30" s="436"/>
      <c r="O30" s="434"/>
      <c r="P30" s="435"/>
      <c r="Q30" s="435"/>
      <c r="R30" s="436"/>
      <c r="S30" s="434"/>
      <c r="T30" s="435"/>
      <c r="U30" s="435"/>
      <c r="V30" s="436"/>
      <c r="W30" s="434"/>
      <c r="X30" s="435"/>
      <c r="Y30" s="435"/>
      <c r="Z30" s="436"/>
      <c r="AA30" s="434"/>
      <c r="AB30" s="435"/>
      <c r="AC30" s="435"/>
      <c r="AD30" s="436"/>
      <c r="AE30" s="434"/>
      <c r="AF30" s="435"/>
      <c r="AG30" s="435"/>
      <c r="AH30" s="436"/>
      <c r="AI30" s="434"/>
      <c r="AJ30" s="435"/>
      <c r="AK30" s="435"/>
      <c r="AL30" s="436"/>
      <c r="AM30" s="385"/>
      <c r="AN30" s="183"/>
      <c r="AO30" s="183"/>
    </row>
    <row r="31" spans="1:41">
      <c r="A31" s="420"/>
      <c r="B31" s="437" t="s">
        <v>463</v>
      </c>
      <c r="C31" s="423" t="s">
        <v>484</v>
      </c>
      <c r="D31" s="423" t="s">
        <v>485</v>
      </c>
      <c r="E31" s="423" t="s">
        <v>486</v>
      </c>
      <c r="F31" s="424" t="s">
        <v>483</v>
      </c>
      <c r="G31" s="423" t="s">
        <v>484</v>
      </c>
      <c r="H31" s="423" t="s">
        <v>485</v>
      </c>
      <c r="I31" s="423" t="s">
        <v>486</v>
      </c>
      <c r="J31" s="425" t="s">
        <v>483</v>
      </c>
      <c r="K31" s="422" t="s">
        <v>484</v>
      </c>
      <c r="L31" s="423" t="s">
        <v>485</v>
      </c>
      <c r="M31" s="423" t="s">
        <v>486</v>
      </c>
      <c r="N31" s="425" t="s">
        <v>483</v>
      </c>
      <c r="O31" s="422" t="s">
        <v>484</v>
      </c>
      <c r="P31" s="423" t="s">
        <v>485</v>
      </c>
      <c r="Q31" s="423" t="s">
        <v>486</v>
      </c>
      <c r="R31" s="425" t="s">
        <v>483</v>
      </c>
      <c r="S31" s="422" t="s">
        <v>484</v>
      </c>
      <c r="T31" s="423" t="s">
        <v>485</v>
      </c>
      <c r="U31" s="423" t="s">
        <v>486</v>
      </c>
      <c r="V31" s="425" t="s">
        <v>483</v>
      </c>
      <c r="W31" s="422" t="s">
        <v>484</v>
      </c>
      <c r="X31" s="423" t="s">
        <v>485</v>
      </c>
      <c r="Y31" s="423" t="s">
        <v>486</v>
      </c>
      <c r="Z31" s="425" t="s">
        <v>483</v>
      </c>
      <c r="AA31" s="422" t="s">
        <v>484</v>
      </c>
      <c r="AB31" s="423" t="s">
        <v>485</v>
      </c>
      <c r="AC31" s="423" t="s">
        <v>486</v>
      </c>
      <c r="AD31" s="425" t="s">
        <v>483</v>
      </c>
      <c r="AE31" s="422" t="s">
        <v>484</v>
      </c>
      <c r="AF31" s="423" t="s">
        <v>485</v>
      </c>
      <c r="AG31" s="423" t="s">
        <v>486</v>
      </c>
      <c r="AH31" s="425" t="s">
        <v>483</v>
      </c>
      <c r="AI31" s="422" t="s">
        <v>484</v>
      </c>
      <c r="AJ31" s="423" t="s">
        <v>485</v>
      </c>
      <c r="AK31" s="423" t="s">
        <v>486</v>
      </c>
      <c r="AL31" s="425" t="s">
        <v>483</v>
      </c>
      <c r="AM31" s="459" t="s">
        <v>340</v>
      </c>
      <c r="AN31" s="438" t="s">
        <v>497</v>
      </c>
      <c r="AO31" s="439" t="s">
        <v>498</v>
      </c>
    </row>
    <row r="32" spans="1:41">
      <c r="A32" s="379" t="s">
        <v>502</v>
      </c>
      <c r="B32" s="440">
        <v>2005</v>
      </c>
      <c r="C32" s="441">
        <f>+C27</f>
        <v>20000000</v>
      </c>
      <c r="D32" s="432">
        <f>+C$28/12*(12-C$29)</f>
        <v>333333.33333333331</v>
      </c>
      <c r="E32" s="441">
        <f t="shared" ref="E32:E63" si="0">+C32-D32</f>
        <v>19666666.666666668</v>
      </c>
      <c r="F32" s="430" t="e">
        <f>+C$25*E32+D32</f>
        <v>#REF!</v>
      </c>
      <c r="G32" s="185"/>
      <c r="H32" s="185"/>
      <c r="I32" s="185"/>
      <c r="J32" s="430"/>
      <c r="K32" s="379"/>
      <c r="L32" s="185"/>
      <c r="M32" s="185"/>
      <c r="N32" s="430"/>
      <c r="O32" s="379"/>
      <c r="P32" s="185"/>
      <c r="Q32" s="185"/>
      <c r="R32" s="430"/>
      <c r="S32" s="379"/>
      <c r="T32" s="185"/>
      <c r="U32" s="185"/>
      <c r="V32" s="430"/>
      <c r="W32" s="379"/>
      <c r="X32" s="185"/>
      <c r="Y32" s="185"/>
      <c r="Z32" s="430"/>
      <c r="AA32" s="379"/>
      <c r="AB32" s="185"/>
      <c r="AC32" s="185"/>
      <c r="AD32" s="430"/>
      <c r="AE32" s="379"/>
      <c r="AF32" s="185"/>
      <c r="AG32" s="185"/>
      <c r="AH32" s="430"/>
      <c r="AI32" s="379"/>
      <c r="AJ32" s="185"/>
      <c r="AK32" s="185"/>
      <c r="AL32" s="430"/>
      <c r="AM32" s="460" t="e">
        <f>+N32+J32+F32</f>
        <v>#REF!</v>
      </c>
      <c r="AN32" s="185"/>
      <c r="AO32" s="442" t="e">
        <f>+AM32</f>
        <v>#REF!</v>
      </c>
    </row>
    <row r="33" spans="1:41">
      <c r="A33" s="379" t="s">
        <v>467</v>
      </c>
      <c r="B33" s="440">
        <v>2005</v>
      </c>
      <c r="C33" s="441">
        <f>+C32</f>
        <v>20000000</v>
      </c>
      <c r="D33" s="432">
        <f>+D32</f>
        <v>333333.33333333331</v>
      </c>
      <c r="E33" s="441">
        <f t="shared" si="0"/>
        <v>19666666.666666668</v>
      </c>
      <c r="F33" s="430" t="e">
        <f>+C$26*E33+D33</f>
        <v>#REF!</v>
      </c>
      <c r="G33" s="185"/>
      <c r="H33" s="185"/>
      <c r="I33" s="185"/>
      <c r="J33" s="430"/>
      <c r="K33" s="379"/>
      <c r="L33" s="185"/>
      <c r="M33" s="185"/>
      <c r="N33" s="430"/>
      <c r="O33" s="379"/>
      <c r="P33" s="185"/>
      <c r="Q33" s="185"/>
      <c r="R33" s="430"/>
      <c r="S33" s="379"/>
      <c r="T33" s="185"/>
      <c r="U33" s="185"/>
      <c r="V33" s="430"/>
      <c r="W33" s="379"/>
      <c r="X33" s="185"/>
      <c r="Y33" s="185"/>
      <c r="Z33" s="430"/>
      <c r="AA33" s="379"/>
      <c r="AB33" s="185"/>
      <c r="AC33" s="185"/>
      <c r="AD33" s="430"/>
      <c r="AE33" s="379"/>
      <c r="AF33" s="185"/>
      <c r="AG33" s="185"/>
      <c r="AH33" s="430"/>
      <c r="AI33" s="379"/>
      <c r="AJ33" s="185"/>
      <c r="AK33" s="185"/>
      <c r="AL33" s="430"/>
      <c r="AM33" s="460" t="e">
        <f t="shared" ref="AM33:AM71" si="1">+N33+J33+F33</f>
        <v>#REF!</v>
      </c>
      <c r="AN33" s="443" t="e">
        <f>+AM33</f>
        <v>#REF!</v>
      </c>
      <c r="AO33" s="377"/>
    </row>
    <row r="34" spans="1:41">
      <c r="A34" s="379" t="s">
        <v>502</v>
      </c>
      <c r="B34" s="440">
        <f>+B32+1</f>
        <v>2006</v>
      </c>
      <c r="C34" s="441">
        <f>+E33</f>
        <v>19666666.666666668</v>
      </c>
      <c r="D34" s="441">
        <f>+C$28</f>
        <v>666666.66666666663</v>
      </c>
      <c r="E34" s="441">
        <f t="shared" si="0"/>
        <v>19000000</v>
      </c>
      <c r="F34" s="430" t="e">
        <f>+C$25*E34+D34</f>
        <v>#REF!</v>
      </c>
      <c r="G34" s="441">
        <f>+G$27</f>
        <v>30000000</v>
      </c>
      <c r="H34" s="432">
        <f>+G$28/12*(12-G$29)</f>
        <v>642857.14285714296</v>
      </c>
      <c r="I34" s="441">
        <f t="shared" ref="I34:I65" si="2">+G34-H34</f>
        <v>29357142.857142858</v>
      </c>
      <c r="J34" s="430" t="e">
        <f>+G$25*I34+H34</f>
        <v>#REF!</v>
      </c>
      <c r="K34" s="444">
        <f>+K$27</f>
        <v>20000000</v>
      </c>
      <c r="L34" s="432">
        <f>+K$28/12*(12-K$29)</f>
        <v>125000</v>
      </c>
      <c r="M34" s="441">
        <f t="shared" ref="M34:M65" si="3">+K34-L34</f>
        <v>19875000</v>
      </c>
      <c r="N34" s="430" t="e">
        <f>+K$25*M34+L34</f>
        <v>#REF!</v>
      </c>
      <c r="O34" s="444"/>
      <c r="P34" s="432"/>
      <c r="Q34" s="441"/>
      <c r="R34" s="430"/>
      <c r="S34" s="444"/>
      <c r="T34" s="432"/>
      <c r="U34" s="441"/>
      <c r="V34" s="430"/>
      <c r="W34" s="444"/>
      <c r="X34" s="432"/>
      <c r="Y34" s="441"/>
      <c r="Z34" s="430"/>
      <c r="AA34" s="444"/>
      <c r="AB34" s="432"/>
      <c r="AC34" s="441"/>
      <c r="AD34" s="430"/>
      <c r="AE34" s="444"/>
      <c r="AF34" s="432"/>
      <c r="AG34" s="441"/>
      <c r="AH34" s="430"/>
      <c r="AI34" s="444"/>
      <c r="AJ34" s="432"/>
      <c r="AK34" s="441"/>
      <c r="AL34" s="430"/>
      <c r="AM34" s="460" t="e">
        <f t="shared" si="1"/>
        <v>#REF!</v>
      </c>
      <c r="AN34" s="185"/>
      <c r="AO34" s="442" t="e">
        <f>+AM34</f>
        <v>#REF!</v>
      </c>
    </row>
    <row r="35" spans="1:41">
      <c r="A35" s="379" t="s">
        <v>467</v>
      </c>
      <c r="B35" s="440">
        <f t="shared" ref="B35:B71" si="4">+B33+1</f>
        <v>2006</v>
      </c>
      <c r="C35" s="441">
        <f>+C34</f>
        <v>19666666.666666668</v>
      </c>
      <c r="D35" s="441">
        <f>+D34</f>
        <v>666666.66666666663</v>
      </c>
      <c r="E35" s="441">
        <f t="shared" si="0"/>
        <v>19000000</v>
      </c>
      <c r="F35" s="430" t="e">
        <f>+C$26*E35+D35</f>
        <v>#REF!</v>
      </c>
      <c r="G35" s="441">
        <f>+G34</f>
        <v>30000000</v>
      </c>
      <c r="H35" s="432">
        <f>+H34</f>
        <v>642857.14285714296</v>
      </c>
      <c r="I35" s="441">
        <f t="shared" si="2"/>
        <v>29357142.857142858</v>
      </c>
      <c r="J35" s="430" t="e">
        <f>+G$26*I35+H35</f>
        <v>#REF!</v>
      </c>
      <c r="K35" s="444">
        <f>+K34</f>
        <v>20000000</v>
      </c>
      <c r="L35" s="432">
        <f>+L34</f>
        <v>125000</v>
      </c>
      <c r="M35" s="441">
        <f t="shared" si="3"/>
        <v>19875000</v>
      </c>
      <c r="N35" s="430" t="e">
        <f>+K$26*M35+L35</f>
        <v>#REF!</v>
      </c>
      <c r="O35" s="444"/>
      <c r="P35" s="432"/>
      <c r="Q35" s="441"/>
      <c r="R35" s="430"/>
      <c r="S35" s="444"/>
      <c r="T35" s="432"/>
      <c r="U35" s="441"/>
      <c r="V35" s="430"/>
      <c r="W35" s="444"/>
      <c r="X35" s="432"/>
      <c r="Y35" s="441"/>
      <c r="Z35" s="430"/>
      <c r="AA35" s="444"/>
      <c r="AB35" s="432"/>
      <c r="AC35" s="441"/>
      <c r="AD35" s="430"/>
      <c r="AE35" s="444"/>
      <c r="AF35" s="432"/>
      <c r="AG35" s="441"/>
      <c r="AH35" s="430"/>
      <c r="AI35" s="444"/>
      <c r="AJ35" s="432"/>
      <c r="AK35" s="441"/>
      <c r="AL35" s="430"/>
      <c r="AM35" s="460" t="e">
        <f t="shared" si="1"/>
        <v>#REF!</v>
      </c>
      <c r="AN35" s="443" t="e">
        <f>+AM35</f>
        <v>#REF!</v>
      </c>
      <c r="AO35" s="377"/>
    </row>
    <row r="36" spans="1:41">
      <c r="A36" s="379" t="s">
        <v>502</v>
      </c>
      <c r="B36" s="440">
        <f t="shared" si="4"/>
        <v>2007</v>
      </c>
      <c r="C36" s="441">
        <f>+E35</f>
        <v>19000000</v>
      </c>
      <c r="D36" s="441">
        <f>+C$28</f>
        <v>666666.66666666663</v>
      </c>
      <c r="E36" s="441">
        <f t="shared" si="0"/>
        <v>18333333.333333332</v>
      </c>
      <c r="F36" s="430" t="e">
        <f>+C$25*E36+D36</f>
        <v>#REF!</v>
      </c>
      <c r="G36" s="441">
        <f>+I35</f>
        <v>29357142.857142858</v>
      </c>
      <c r="H36" s="441">
        <f>+G$28</f>
        <v>857142.85714285716</v>
      </c>
      <c r="I36" s="441">
        <f t="shared" si="2"/>
        <v>28500000</v>
      </c>
      <c r="J36" s="430" t="e">
        <f>+G$25*I36+H36</f>
        <v>#REF!</v>
      </c>
      <c r="K36" s="444">
        <f>+M35</f>
        <v>19875000</v>
      </c>
      <c r="L36" s="441">
        <f>+K$28</f>
        <v>500000</v>
      </c>
      <c r="M36" s="441">
        <f t="shared" si="3"/>
        <v>19375000</v>
      </c>
      <c r="N36" s="430" t="e">
        <f>+K$25*M36+L36</f>
        <v>#REF!</v>
      </c>
      <c r="O36" s="444">
        <f>+O$27</f>
        <v>30000000</v>
      </c>
      <c r="P36" s="432">
        <f>+O$28/12*(12-O$29)</f>
        <v>125000</v>
      </c>
      <c r="Q36" s="441">
        <f t="shared" ref="Q36:Q67" si="5">+O36-P36</f>
        <v>29875000</v>
      </c>
      <c r="R36" s="430" t="e">
        <f>+O$25*Q36+P36</f>
        <v>#REF!</v>
      </c>
      <c r="S36" s="444">
        <f>+S$27</f>
        <v>20000000</v>
      </c>
      <c r="T36" s="432">
        <f>+S$28/12*(12-S$29)</f>
        <v>416666.66666666663</v>
      </c>
      <c r="U36" s="441">
        <f t="shared" ref="U36:U67" si="6">+S36-T36</f>
        <v>19583333.333333332</v>
      </c>
      <c r="V36" s="430" t="e">
        <f>+S$25*U36+T36</f>
        <v>#REF!</v>
      </c>
      <c r="W36" s="444"/>
      <c r="X36" s="441"/>
      <c r="Y36" s="441"/>
      <c r="Z36" s="430"/>
      <c r="AA36" s="444"/>
      <c r="AB36" s="441"/>
      <c r="AC36" s="441"/>
      <c r="AD36" s="430"/>
      <c r="AE36" s="444"/>
      <c r="AF36" s="441"/>
      <c r="AG36" s="441"/>
      <c r="AH36" s="430"/>
      <c r="AI36" s="444"/>
      <c r="AJ36" s="441"/>
      <c r="AK36" s="441"/>
      <c r="AL36" s="430"/>
      <c r="AM36" s="460" t="e">
        <f t="shared" si="1"/>
        <v>#REF!</v>
      </c>
      <c r="AN36" s="185"/>
      <c r="AO36" s="442" t="e">
        <f>+AM36</f>
        <v>#REF!</v>
      </c>
    </row>
    <row r="37" spans="1:41">
      <c r="A37" s="379" t="s">
        <v>467</v>
      </c>
      <c r="B37" s="440">
        <f t="shared" si="4"/>
        <v>2007</v>
      </c>
      <c r="C37" s="441">
        <f>+C36</f>
        <v>19000000</v>
      </c>
      <c r="D37" s="441">
        <f>+D36</f>
        <v>666666.66666666663</v>
      </c>
      <c r="E37" s="441">
        <f t="shared" si="0"/>
        <v>18333333.333333332</v>
      </c>
      <c r="F37" s="430" t="e">
        <f>+C$26*E37+D37</f>
        <v>#REF!</v>
      </c>
      <c r="G37" s="441">
        <f>+G36</f>
        <v>29357142.857142858</v>
      </c>
      <c r="H37" s="441">
        <f>+H36</f>
        <v>857142.85714285716</v>
      </c>
      <c r="I37" s="441">
        <f t="shared" si="2"/>
        <v>28500000</v>
      </c>
      <c r="J37" s="430" t="e">
        <f>+G$26*I37+H37</f>
        <v>#REF!</v>
      </c>
      <c r="K37" s="444">
        <f>+K36</f>
        <v>19875000</v>
      </c>
      <c r="L37" s="441">
        <f>+L36</f>
        <v>500000</v>
      </c>
      <c r="M37" s="441">
        <f t="shared" si="3"/>
        <v>19375000</v>
      </c>
      <c r="N37" s="430" t="e">
        <f>+K$26*M37+L37</f>
        <v>#REF!</v>
      </c>
      <c r="O37" s="444">
        <f>+O36</f>
        <v>30000000</v>
      </c>
      <c r="P37" s="432">
        <f>+P36</f>
        <v>125000</v>
      </c>
      <c r="Q37" s="441">
        <f t="shared" si="5"/>
        <v>29875000</v>
      </c>
      <c r="R37" s="430" t="e">
        <f>+O$26*Q37+P37</f>
        <v>#REF!</v>
      </c>
      <c r="S37" s="444">
        <f>+S36</f>
        <v>20000000</v>
      </c>
      <c r="T37" s="432">
        <f>+T36</f>
        <v>416666.66666666663</v>
      </c>
      <c r="U37" s="441">
        <f t="shared" si="6"/>
        <v>19583333.333333332</v>
      </c>
      <c r="V37" s="430" t="e">
        <f>+S$26*U37+T37</f>
        <v>#REF!</v>
      </c>
      <c r="W37" s="444"/>
      <c r="X37" s="441"/>
      <c r="Y37" s="441"/>
      <c r="Z37" s="430"/>
      <c r="AA37" s="444"/>
      <c r="AB37" s="441"/>
      <c r="AC37" s="441"/>
      <c r="AD37" s="430"/>
      <c r="AE37" s="444"/>
      <c r="AF37" s="441"/>
      <c r="AG37" s="441"/>
      <c r="AH37" s="430"/>
      <c r="AI37" s="444"/>
      <c r="AJ37" s="441"/>
      <c r="AK37" s="441"/>
      <c r="AL37" s="430"/>
      <c r="AM37" s="460" t="e">
        <f t="shared" si="1"/>
        <v>#REF!</v>
      </c>
      <c r="AN37" s="443" t="e">
        <f>+AM37</f>
        <v>#REF!</v>
      </c>
      <c r="AO37" s="377"/>
    </row>
    <row r="38" spans="1:41">
      <c r="A38" s="379" t="s">
        <v>502</v>
      </c>
      <c r="B38" s="440">
        <f t="shared" si="4"/>
        <v>2008</v>
      </c>
      <c r="C38" s="441">
        <f>+E37</f>
        <v>18333333.333333332</v>
      </c>
      <c r="D38" s="441">
        <f>+C$28</f>
        <v>666666.66666666663</v>
      </c>
      <c r="E38" s="441">
        <f t="shared" si="0"/>
        <v>17666666.666666664</v>
      </c>
      <c r="F38" s="430" t="e">
        <f>+C$25*E38+D38</f>
        <v>#REF!</v>
      </c>
      <c r="G38" s="441">
        <f>+I37</f>
        <v>28500000</v>
      </c>
      <c r="H38" s="441">
        <f>+G$28</f>
        <v>857142.85714285716</v>
      </c>
      <c r="I38" s="441">
        <f t="shared" si="2"/>
        <v>27642857.142857142</v>
      </c>
      <c r="J38" s="430" t="e">
        <f>+G$25*I38+H38</f>
        <v>#REF!</v>
      </c>
      <c r="K38" s="444">
        <f>+M37</f>
        <v>19375000</v>
      </c>
      <c r="L38" s="441">
        <f>+K$28</f>
        <v>500000</v>
      </c>
      <c r="M38" s="441">
        <f t="shared" si="3"/>
        <v>18875000</v>
      </c>
      <c r="N38" s="430" t="e">
        <f>+K$25*M38+L38</f>
        <v>#REF!</v>
      </c>
      <c r="O38" s="444">
        <f>+Q37</f>
        <v>29875000</v>
      </c>
      <c r="P38" s="441">
        <f>+O$28</f>
        <v>750000</v>
      </c>
      <c r="Q38" s="441">
        <f t="shared" si="5"/>
        <v>29125000</v>
      </c>
      <c r="R38" s="430" t="e">
        <f>+O$25*Q38+P38</f>
        <v>#REF!</v>
      </c>
      <c r="S38" s="444">
        <f>+U37</f>
        <v>19583333.333333332</v>
      </c>
      <c r="T38" s="441">
        <f>+S$28</f>
        <v>500000</v>
      </c>
      <c r="U38" s="441">
        <f t="shared" si="6"/>
        <v>19083333.333333332</v>
      </c>
      <c r="V38" s="430" t="e">
        <f>+S$25*U38+T38</f>
        <v>#REF!</v>
      </c>
      <c r="W38" s="444">
        <f>+W$27</f>
        <v>30000000</v>
      </c>
      <c r="X38" s="432">
        <f>+W$28/12*(12-W$29)</f>
        <v>500000</v>
      </c>
      <c r="Y38" s="441">
        <f t="shared" ref="Y38:Y69" si="7">+W38-X38</f>
        <v>29500000</v>
      </c>
      <c r="Z38" s="430" t="e">
        <f>+W$25*Y38+X38</f>
        <v>#REF!</v>
      </c>
      <c r="AA38" s="444">
        <f>+AA$27</f>
        <v>20000000</v>
      </c>
      <c r="AB38" s="432">
        <f>+AA$28/12*(12-AA$29)</f>
        <v>47619.047619047626</v>
      </c>
      <c r="AC38" s="441">
        <f t="shared" ref="AC38:AC69" si="8">+AA38-AB38</f>
        <v>19952380.952380951</v>
      </c>
      <c r="AD38" s="430" t="e">
        <f>+AA$25*AC38+AB38</f>
        <v>#REF!</v>
      </c>
      <c r="AE38" s="444"/>
      <c r="AF38" s="441"/>
      <c r="AG38" s="441"/>
      <c r="AH38" s="430"/>
      <c r="AI38" s="444"/>
      <c r="AJ38" s="441"/>
      <c r="AK38" s="441"/>
      <c r="AL38" s="430"/>
      <c r="AM38" s="460" t="e">
        <f t="shared" si="1"/>
        <v>#REF!</v>
      </c>
      <c r="AN38" s="185"/>
      <c r="AO38" s="442" t="e">
        <f>+AM38</f>
        <v>#REF!</v>
      </c>
    </row>
    <row r="39" spans="1:41">
      <c r="A39" s="379" t="s">
        <v>467</v>
      </c>
      <c r="B39" s="440">
        <f t="shared" si="4"/>
        <v>2008</v>
      </c>
      <c r="C39" s="441">
        <f>+C38</f>
        <v>18333333.333333332</v>
      </c>
      <c r="D39" s="441">
        <f>+D38</f>
        <v>666666.66666666663</v>
      </c>
      <c r="E39" s="441">
        <f t="shared" si="0"/>
        <v>17666666.666666664</v>
      </c>
      <c r="F39" s="430" t="e">
        <f>+C$26*E39+D39</f>
        <v>#REF!</v>
      </c>
      <c r="G39" s="441">
        <f>+G38</f>
        <v>28500000</v>
      </c>
      <c r="H39" s="441">
        <f>+H38</f>
        <v>857142.85714285716</v>
      </c>
      <c r="I39" s="441">
        <f t="shared" si="2"/>
        <v>27642857.142857142</v>
      </c>
      <c r="J39" s="430" t="e">
        <f>+G$26*I39+H39</f>
        <v>#REF!</v>
      </c>
      <c r="K39" s="444">
        <f>+K38</f>
        <v>19375000</v>
      </c>
      <c r="L39" s="441">
        <f>+L38</f>
        <v>500000</v>
      </c>
      <c r="M39" s="441">
        <f t="shared" si="3"/>
        <v>18875000</v>
      </c>
      <c r="N39" s="430" t="e">
        <f>+K$26*M39+L39</f>
        <v>#REF!</v>
      </c>
      <c r="O39" s="444">
        <f>+O38</f>
        <v>29875000</v>
      </c>
      <c r="P39" s="441">
        <f>+P38</f>
        <v>750000</v>
      </c>
      <c r="Q39" s="441">
        <f t="shared" si="5"/>
        <v>29125000</v>
      </c>
      <c r="R39" s="430" t="e">
        <f>+O$26*Q39+P39</f>
        <v>#REF!</v>
      </c>
      <c r="S39" s="444">
        <f>+S38</f>
        <v>19583333.333333332</v>
      </c>
      <c r="T39" s="441">
        <f>+T38</f>
        <v>500000</v>
      </c>
      <c r="U39" s="441">
        <f t="shared" si="6"/>
        <v>19083333.333333332</v>
      </c>
      <c r="V39" s="430" t="e">
        <f>+S$26*U39+T39</f>
        <v>#REF!</v>
      </c>
      <c r="W39" s="444">
        <f>+W38</f>
        <v>30000000</v>
      </c>
      <c r="X39" s="432">
        <f>+X38</f>
        <v>500000</v>
      </c>
      <c r="Y39" s="441">
        <f t="shared" si="7"/>
        <v>29500000</v>
      </c>
      <c r="Z39" s="430" t="e">
        <f>+W$26*Y39+X39</f>
        <v>#REF!</v>
      </c>
      <c r="AA39" s="444">
        <f>+AA38</f>
        <v>20000000</v>
      </c>
      <c r="AB39" s="432">
        <f>+AB38</f>
        <v>47619.047619047626</v>
      </c>
      <c r="AC39" s="441">
        <f t="shared" si="8"/>
        <v>19952380.952380951</v>
      </c>
      <c r="AD39" s="430" t="e">
        <f>+AA$26*AC39+AB39</f>
        <v>#REF!</v>
      </c>
      <c r="AE39" s="444"/>
      <c r="AF39" s="441"/>
      <c r="AG39" s="441"/>
      <c r="AH39" s="430"/>
      <c r="AI39" s="444"/>
      <c r="AJ39" s="441"/>
      <c r="AK39" s="441"/>
      <c r="AL39" s="430"/>
      <c r="AM39" s="460" t="e">
        <f t="shared" si="1"/>
        <v>#REF!</v>
      </c>
      <c r="AN39" s="443" t="e">
        <f>+AM39</f>
        <v>#REF!</v>
      </c>
      <c r="AO39" s="377"/>
    </row>
    <row r="40" spans="1:41">
      <c r="A40" s="379" t="s">
        <v>502</v>
      </c>
      <c r="B40" s="440">
        <f t="shared" si="4"/>
        <v>2009</v>
      </c>
      <c r="C40" s="441">
        <f>+E39</f>
        <v>17666666.666666664</v>
      </c>
      <c r="D40" s="441">
        <f>+C$28</f>
        <v>666666.66666666663</v>
      </c>
      <c r="E40" s="441">
        <f t="shared" si="0"/>
        <v>16999999.999999996</v>
      </c>
      <c r="F40" s="430" t="e">
        <f>+C$25*E40+D40</f>
        <v>#REF!</v>
      </c>
      <c r="G40" s="441">
        <f>+I39</f>
        <v>27642857.142857142</v>
      </c>
      <c r="H40" s="441">
        <f>+G$28</f>
        <v>857142.85714285716</v>
      </c>
      <c r="I40" s="441">
        <f t="shared" si="2"/>
        <v>26785714.285714284</v>
      </c>
      <c r="J40" s="430" t="e">
        <f>+G$25*I40+H40</f>
        <v>#REF!</v>
      </c>
      <c r="K40" s="444">
        <f>+M39</f>
        <v>18875000</v>
      </c>
      <c r="L40" s="441">
        <f>+K$28</f>
        <v>500000</v>
      </c>
      <c r="M40" s="441">
        <f t="shared" si="3"/>
        <v>18375000</v>
      </c>
      <c r="N40" s="430" t="e">
        <f>+K$25*M40+L40</f>
        <v>#REF!</v>
      </c>
      <c r="O40" s="444">
        <f>+Q39</f>
        <v>29125000</v>
      </c>
      <c r="P40" s="441">
        <f>+O$28</f>
        <v>750000</v>
      </c>
      <c r="Q40" s="441">
        <f t="shared" si="5"/>
        <v>28375000</v>
      </c>
      <c r="R40" s="430" t="e">
        <f>+O$25*Q40+P40</f>
        <v>#REF!</v>
      </c>
      <c r="S40" s="444">
        <f>+U39</f>
        <v>19083333.333333332</v>
      </c>
      <c r="T40" s="441">
        <f>+S$28</f>
        <v>500000</v>
      </c>
      <c r="U40" s="441">
        <f t="shared" si="6"/>
        <v>18583333.333333332</v>
      </c>
      <c r="V40" s="430" t="e">
        <f>+S$25*U40+T40</f>
        <v>#REF!</v>
      </c>
      <c r="W40" s="444">
        <f>+Y39</f>
        <v>29500000</v>
      </c>
      <c r="X40" s="441">
        <f>+W$28</f>
        <v>750000</v>
      </c>
      <c r="Y40" s="441">
        <f t="shared" si="7"/>
        <v>28750000</v>
      </c>
      <c r="Z40" s="430" t="e">
        <f>+W$25*Y40+X40</f>
        <v>#REF!</v>
      </c>
      <c r="AA40" s="444">
        <f>+AC39</f>
        <v>19952380.952380951</v>
      </c>
      <c r="AB40" s="441">
        <f>+AA$28</f>
        <v>571428.57142857148</v>
      </c>
      <c r="AC40" s="441">
        <f t="shared" si="8"/>
        <v>19380952.380952381</v>
      </c>
      <c r="AD40" s="430" t="e">
        <f>+AA$25*AC40+AB40</f>
        <v>#REF!</v>
      </c>
      <c r="AE40" s="444">
        <f>+AE$27</f>
        <v>30000000</v>
      </c>
      <c r="AF40" s="432">
        <f>+AE$28/12*(12-AE$29)</f>
        <v>400000</v>
      </c>
      <c r="AG40" s="441">
        <f t="shared" ref="AG40:AG71" si="9">+AE40-AF40</f>
        <v>29600000</v>
      </c>
      <c r="AH40" s="430" t="e">
        <f>+AE$25*AG40+AF40</f>
        <v>#REF!</v>
      </c>
      <c r="AI40" s="444">
        <f>+AI$27</f>
        <v>20000000</v>
      </c>
      <c r="AJ40" s="432">
        <f>+AI$28/12*(12-AI$29)</f>
        <v>166666.66666666666</v>
      </c>
      <c r="AK40" s="441">
        <f t="shared" ref="AK40:AK71" si="10">+AI40-AJ40</f>
        <v>19833333.333333332</v>
      </c>
      <c r="AL40" s="430" t="e">
        <f>+AI$25*AK40+AJ40</f>
        <v>#REF!</v>
      </c>
      <c r="AM40" s="460" t="e">
        <f t="shared" si="1"/>
        <v>#REF!</v>
      </c>
      <c r="AN40" s="185"/>
      <c r="AO40" s="442" t="e">
        <f>+AM40</f>
        <v>#REF!</v>
      </c>
    </row>
    <row r="41" spans="1:41">
      <c r="A41" s="379" t="s">
        <v>467</v>
      </c>
      <c r="B41" s="440">
        <f t="shared" si="4"/>
        <v>2009</v>
      </c>
      <c r="C41" s="441">
        <f>+C40</f>
        <v>17666666.666666664</v>
      </c>
      <c r="D41" s="441">
        <f>+D40</f>
        <v>666666.66666666663</v>
      </c>
      <c r="E41" s="441">
        <f t="shared" si="0"/>
        <v>16999999.999999996</v>
      </c>
      <c r="F41" s="430" t="e">
        <f>+C$26*E41+D41</f>
        <v>#REF!</v>
      </c>
      <c r="G41" s="441">
        <f>+G40</f>
        <v>27642857.142857142</v>
      </c>
      <c r="H41" s="441">
        <f>+H40</f>
        <v>857142.85714285716</v>
      </c>
      <c r="I41" s="441">
        <f t="shared" si="2"/>
        <v>26785714.285714284</v>
      </c>
      <c r="J41" s="430" t="e">
        <f>+G$26*I41+H41</f>
        <v>#REF!</v>
      </c>
      <c r="K41" s="444">
        <f>+K40</f>
        <v>18875000</v>
      </c>
      <c r="L41" s="441">
        <f>+L40</f>
        <v>500000</v>
      </c>
      <c r="M41" s="441">
        <f t="shared" si="3"/>
        <v>18375000</v>
      </c>
      <c r="N41" s="430" t="e">
        <f>+K$26*M41+L41</f>
        <v>#REF!</v>
      </c>
      <c r="O41" s="444">
        <f>+O40</f>
        <v>29125000</v>
      </c>
      <c r="P41" s="441">
        <f>+P40</f>
        <v>750000</v>
      </c>
      <c r="Q41" s="441">
        <f t="shared" si="5"/>
        <v>28375000</v>
      </c>
      <c r="R41" s="430" t="e">
        <f>+O$26*Q41+P41</f>
        <v>#REF!</v>
      </c>
      <c r="S41" s="444">
        <f>+S40</f>
        <v>19083333.333333332</v>
      </c>
      <c r="T41" s="441">
        <f>+T40</f>
        <v>500000</v>
      </c>
      <c r="U41" s="441">
        <f t="shared" si="6"/>
        <v>18583333.333333332</v>
      </c>
      <c r="V41" s="430" t="e">
        <f>+S$26*U41+T41</f>
        <v>#REF!</v>
      </c>
      <c r="W41" s="444">
        <f>+W40</f>
        <v>29500000</v>
      </c>
      <c r="X41" s="441">
        <f>+X40</f>
        <v>750000</v>
      </c>
      <c r="Y41" s="441">
        <f t="shared" si="7"/>
        <v>28750000</v>
      </c>
      <c r="Z41" s="430" t="e">
        <f>+W$26*Y41+X41</f>
        <v>#REF!</v>
      </c>
      <c r="AA41" s="444">
        <f>+AA40</f>
        <v>19952380.952380951</v>
      </c>
      <c r="AB41" s="441">
        <f>+AB40</f>
        <v>571428.57142857148</v>
      </c>
      <c r="AC41" s="441">
        <f t="shared" si="8"/>
        <v>19380952.380952381</v>
      </c>
      <c r="AD41" s="430" t="e">
        <f>+AA$26*AC41+AB41</f>
        <v>#REF!</v>
      </c>
      <c r="AE41" s="444">
        <f>+AE40</f>
        <v>30000000</v>
      </c>
      <c r="AF41" s="432">
        <f>+AF40</f>
        <v>400000</v>
      </c>
      <c r="AG41" s="441">
        <f t="shared" si="9"/>
        <v>29600000</v>
      </c>
      <c r="AH41" s="430" t="e">
        <f>+AE$26*AG41+AF41</f>
        <v>#REF!</v>
      </c>
      <c r="AI41" s="444">
        <f>+AI40</f>
        <v>20000000</v>
      </c>
      <c r="AJ41" s="432">
        <f>+AJ40</f>
        <v>166666.66666666666</v>
      </c>
      <c r="AK41" s="441">
        <f t="shared" si="10"/>
        <v>19833333.333333332</v>
      </c>
      <c r="AL41" s="430" t="e">
        <f>+AI$26*AK41+AJ41</f>
        <v>#REF!</v>
      </c>
      <c r="AM41" s="460" t="e">
        <f t="shared" si="1"/>
        <v>#REF!</v>
      </c>
      <c r="AN41" s="443" t="e">
        <f>+AM41</f>
        <v>#REF!</v>
      </c>
      <c r="AO41" s="377"/>
    </row>
    <row r="42" spans="1:41">
      <c r="A42" s="379" t="s">
        <v>502</v>
      </c>
      <c r="B42" s="440">
        <f t="shared" si="4"/>
        <v>2010</v>
      </c>
      <c r="C42" s="441">
        <f>+E41</f>
        <v>16999999.999999996</v>
      </c>
      <c r="D42" s="441">
        <f>+C$28</f>
        <v>666666.66666666663</v>
      </c>
      <c r="E42" s="441">
        <f t="shared" si="0"/>
        <v>16333333.33333333</v>
      </c>
      <c r="F42" s="430" t="e">
        <f>+C$25*E42+D42</f>
        <v>#REF!</v>
      </c>
      <c r="G42" s="441">
        <f>+I41</f>
        <v>26785714.285714284</v>
      </c>
      <c r="H42" s="441">
        <f>+G$28</f>
        <v>857142.85714285716</v>
      </c>
      <c r="I42" s="441">
        <f t="shared" si="2"/>
        <v>25928571.428571425</v>
      </c>
      <c r="J42" s="430" t="e">
        <f>+G$25*I42+H42</f>
        <v>#REF!</v>
      </c>
      <c r="K42" s="444">
        <f>+M41</f>
        <v>18375000</v>
      </c>
      <c r="L42" s="441">
        <f>+K$28</f>
        <v>500000</v>
      </c>
      <c r="M42" s="441">
        <f t="shared" si="3"/>
        <v>17875000</v>
      </c>
      <c r="N42" s="430" t="e">
        <f>+K$25*M42+L42</f>
        <v>#REF!</v>
      </c>
      <c r="O42" s="444">
        <f>+Q41</f>
        <v>28375000</v>
      </c>
      <c r="P42" s="441">
        <f>+O$28</f>
        <v>750000</v>
      </c>
      <c r="Q42" s="441">
        <f t="shared" si="5"/>
        <v>27625000</v>
      </c>
      <c r="R42" s="430" t="e">
        <f>+O$25*Q42+P42</f>
        <v>#REF!</v>
      </c>
      <c r="S42" s="444">
        <f>+U41</f>
        <v>18583333.333333332</v>
      </c>
      <c r="T42" s="441">
        <f>+S$28</f>
        <v>500000</v>
      </c>
      <c r="U42" s="441">
        <f t="shared" si="6"/>
        <v>18083333.333333332</v>
      </c>
      <c r="V42" s="430" t="e">
        <f>+S$25*U42+T42</f>
        <v>#REF!</v>
      </c>
      <c r="W42" s="444">
        <f>+Y41</f>
        <v>28750000</v>
      </c>
      <c r="X42" s="441">
        <f>+W$28</f>
        <v>750000</v>
      </c>
      <c r="Y42" s="441">
        <f t="shared" si="7"/>
        <v>28000000</v>
      </c>
      <c r="Z42" s="430" t="e">
        <f>+W$25*Y42+X42</f>
        <v>#REF!</v>
      </c>
      <c r="AA42" s="444">
        <f>+AC41</f>
        <v>19380952.380952381</v>
      </c>
      <c r="AB42" s="441">
        <f>+AA$28</f>
        <v>571428.57142857148</v>
      </c>
      <c r="AC42" s="441">
        <f t="shared" si="8"/>
        <v>18809523.80952381</v>
      </c>
      <c r="AD42" s="430" t="e">
        <f>+AA$25*AC42+AB42</f>
        <v>#REF!</v>
      </c>
      <c r="AE42" s="444">
        <f>+AG41</f>
        <v>29600000</v>
      </c>
      <c r="AF42" s="441">
        <f>+AE$28</f>
        <v>1200000</v>
      </c>
      <c r="AG42" s="441">
        <f t="shared" si="9"/>
        <v>28400000</v>
      </c>
      <c r="AH42" s="430" t="e">
        <f>+AE$25*AG42+AF42</f>
        <v>#REF!</v>
      </c>
      <c r="AI42" s="444">
        <f>+AK41</f>
        <v>19833333.333333332</v>
      </c>
      <c r="AJ42" s="441">
        <f>+AI$28</f>
        <v>666666.66666666663</v>
      </c>
      <c r="AK42" s="441">
        <f t="shared" si="10"/>
        <v>19166666.666666664</v>
      </c>
      <c r="AL42" s="430" t="e">
        <f>+AI$25*AK42+AJ42</f>
        <v>#REF!</v>
      </c>
      <c r="AM42" s="460" t="e">
        <f t="shared" si="1"/>
        <v>#REF!</v>
      </c>
      <c r="AN42" s="185"/>
      <c r="AO42" s="442" t="e">
        <f>+AM42</f>
        <v>#REF!</v>
      </c>
    </row>
    <row r="43" spans="1:41">
      <c r="A43" s="379" t="s">
        <v>467</v>
      </c>
      <c r="B43" s="440">
        <f t="shared" si="4"/>
        <v>2010</v>
      </c>
      <c r="C43" s="441">
        <f>+C42</f>
        <v>16999999.999999996</v>
      </c>
      <c r="D43" s="441">
        <f>+D42</f>
        <v>666666.66666666663</v>
      </c>
      <c r="E43" s="441">
        <f t="shared" si="0"/>
        <v>16333333.33333333</v>
      </c>
      <c r="F43" s="430" t="e">
        <f>+C$26*E43+D43</f>
        <v>#REF!</v>
      </c>
      <c r="G43" s="441">
        <f>+G42</f>
        <v>26785714.285714284</v>
      </c>
      <c r="H43" s="441">
        <f>+H42</f>
        <v>857142.85714285716</v>
      </c>
      <c r="I43" s="441">
        <f t="shared" si="2"/>
        <v>25928571.428571425</v>
      </c>
      <c r="J43" s="430" t="e">
        <f>+G$26*I43+H43</f>
        <v>#REF!</v>
      </c>
      <c r="K43" s="444">
        <f>+K42</f>
        <v>18375000</v>
      </c>
      <c r="L43" s="441">
        <f>+L42</f>
        <v>500000</v>
      </c>
      <c r="M43" s="441">
        <f t="shared" si="3"/>
        <v>17875000</v>
      </c>
      <c r="N43" s="430" t="e">
        <f>+K$26*M43+L43</f>
        <v>#REF!</v>
      </c>
      <c r="O43" s="444">
        <f>+O42</f>
        <v>28375000</v>
      </c>
      <c r="P43" s="441">
        <f>+P42</f>
        <v>750000</v>
      </c>
      <c r="Q43" s="441">
        <f t="shared" si="5"/>
        <v>27625000</v>
      </c>
      <c r="R43" s="430" t="e">
        <f>+O$26*Q43+P43</f>
        <v>#REF!</v>
      </c>
      <c r="S43" s="444">
        <f>+S42</f>
        <v>18583333.333333332</v>
      </c>
      <c r="T43" s="441">
        <f>+T42</f>
        <v>500000</v>
      </c>
      <c r="U43" s="441">
        <f t="shared" si="6"/>
        <v>18083333.333333332</v>
      </c>
      <c r="V43" s="430" t="e">
        <f>+S$26*U43+T43</f>
        <v>#REF!</v>
      </c>
      <c r="W43" s="444">
        <f>+W42</f>
        <v>28750000</v>
      </c>
      <c r="X43" s="441">
        <f>+X42</f>
        <v>750000</v>
      </c>
      <c r="Y43" s="441">
        <f t="shared" si="7"/>
        <v>28000000</v>
      </c>
      <c r="Z43" s="430" t="e">
        <f>+W$26*Y43+X43</f>
        <v>#REF!</v>
      </c>
      <c r="AA43" s="444">
        <f>+AA42</f>
        <v>19380952.380952381</v>
      </c>
      <c r="AB43" s="441">
        <f>+AB42</f>
        <v>571428.57142857148</v>
      </c>
      <c r="AC43" s="441">
        <f t="shared" si="8"/>
        <v>18809523.80952381</v>
      </c>
      <c r="AD43" s="430" t="e">
        <f>+AA$26*AC43+AB43</f>
        <v>#REF!</v>
      </c>
      <c r="AE43" s="444">
        <f>+AE42</f>
        <v>29600000</v>
      </c>
      <c r="AF43" s="441">
        <f>+AF42</f>
        <v>1200000</v>
      </c>
      <c r="AG43" s="441">
        <f t="shared" si="9"/>
        <v>28400000</v>
      </c>
      <c r="AH43" s="430" t="e">
        <f>+AE$26*AG43+AF43</f>
        <v>#REF!</v>
      </c>
      <c r="AI43" s="444">
        <f>+AI42</f>
        <v>19833333.333333332</v>
      </c>
      <c r="AJ43" s="441">
        <f>+AJ42</f>
        <v>666666.66666666663</v>
      </c>
      <c r="AK43" s="441">
        <f t="shared" si="10"/>
        <v>19166666.666666664</v>
      </c>
      <c r="AL43" s="430" t="e">
        <f>+AI$26*AK43+AJ43</f>
        <v>#REF!</v>
      </c>
      <c r="AM43" s="460" t="e">
        <f t="shared" si="1"/>
        <v>#REF!</v>
      </c>
      <c r="AN43" s="443" t="e">
        <f>+AM43</f>
        <v>#REF!</v>
      </c>
      <c r="AO43" s="377"/>
    </row>
    <row r="44" spans="1:41">
      <c r="A44" s="379" t="s">
        <v>502</v>
      </c>
      <c r="B44" s="440">
        <f t="shared" si="4"/>
        <v>2011</v>
      </c>
      <c r="C44" s="441">
        <f>+E43</f>
        <v>16333333.33333333</v>
      </c>
      <c r="D44" s="441">
        <f>+C$28</f>
        <v>666666.66666666663</v>
      </c>
      <c r="E44" s="441">
        <f t="shared" si="0"/>
        <v>15666666.666666664</v>
      </c>
      <c r="F44" s="430" t="e">
        <f>+C$25*E44+D44</f>
        <v>#REF!</v>
      </c>
      <c r="G44" s="441">
        <f>+I43</f>
        <v>25928571.428571425</v>
      </c>
      <c r="H44" s="441">
        <f>+G$28</f>
        <v>857142.85714285716</v>
      </c>
      <c r="I44" s="441">
        <f t="shared" si="2"/>
        <v>25071428.571428567</v>
      </c>
      <c r="J44" s="430" t="e">
        <f>+G$25*I44+H44</f>
        <v>#REF!</v>
      </c>
      <c r="K44" s="444">
        <f>+M43</f>
        <v>17875000</v>
      </c>
      <c r="L44" s="441">
        <f>+K$28</f>
        <v>500000</v>
      </c>
      <c r="M44" s="441">
        <f t="shared" si="3"/>
        <v>17375000</v>
      </c>
      <c r="N44" s="430" t="e">
        <f>+K$25*M44+L44</f>
        <v>#REF!</v>
      </c>
      <c r="O44" s="444">
        <f>+Q43</f>
        <v>27625000</v>
      </c>
      <c r="P44" s="441">
        <f>+O$28</f>
        <v>750000</v>
      </c>
      <c r="Q44" s="441">
        <f t="shared" si="5"/>
        <v>26875000</v>
      </c>
      <c r="R44" s="430" t="e">
        <f>+O$25*Q44+P44</f>
        <v>#REF!</v>
      </c>
      <c r="S44" s="444">
        <f>+U43</f>
        <v>18083333.333333332</v>
      </c>
      <c r="T44" s="441">
        <f>+S$28</f>
        <v>500000</v>
      </c>
      <c r="U44" s="441">
        <f t="shared" si="6"/>
        <v>17583333.333333332</v>
      </c>
      <c r="V44" s="430" t="e">
        <f>+S$25*U44+T44</f>
        <v>#REF!</v>
      </c>
      <c r="W44" s="444">
        <f>+Y43</f>
        <v>28000000</v>
      </c>
      <c r="X44" s="441">
        <f>+W$28</f>
        <v>750000</v>
      </c>
      <c r="Y44" s="441">
        <f t="shared" si="7"/>
        <v>27250000</v>
      </c>
      <c r="Z44" s="430" t="e">
        <f>+W$25*Y44+X44</f>
        <v>#REF!</v>
      </c>
      <c r="AA44" s="444">
        <f>+AC43</f>
        <v>18809523.80952381</v>
      </c>
      <c r="AB44" s="441">
        <f>+AA$28</f>
        <v>571428.57142857148</v>
      </c>
      <c r="AC44" s="441">
        <f t="shared" si="8"/>
        <v>18238095.238095239</v>
      </c>
      <c r="AD44" s="430" t="e">
        <f>+AA$25*AC44+AB44</f>
        <v>#REF!</v>
      </c>
      <c r="AE44" s="444">
        <f>+AG43</f>
        <v>28400000</v>
      </c>
      <c r="AF44" s="441">
        <f>+AE$28</f>
        <v>1200000</v>
      </c>
      <c r="AG44" s="441">
        <f t="shared" si="9"/>
        <v>27200000</v>
      </c>
      <c r="AH44" s="430" t="e">
        <f>+AE$25*AG44+AF44</f>
        <v>#REF!</v>
      </c>
      <c r="AI44" s="444">
        <f>+AK43</f>
        <v>19166666.666666664</v>
      </c>
      <c r="AJ44" s="441">
        <f>+AI$28</f>
        <v>666666.66666666663</v>
      </c>
      <c r="AK44" s="441">
        <f t="shared" si="10"/>
        <v>18499999.999999996</v>
      </c>
      <c r="AL44" s="430" t="e">
        <f>+AI$25*AK44+AJ44</f>
        <v>#REF!</v>
      </c>
      <c r="AM44" s="460" t="e">
        <f t="shared" si="1"/>
        <v>#REF!</v>
      </c>
      <c r="AN44" s="185"/>
      <c r="AO44" s="442" t="e">
        <f>+AM44</f>
        <v>#REF!</v>
      </c>
    </row>
    <row r="45" spans="1:41">
      <c r="A45" s="379" t="s">
        <v>467</v>
      </c>
      <c r="B45" s="440">
        <f t="shared" si="4"/>
        <v>2011</v>
      </c>
      <c r="C45" s="441">
        <f>+C44</f>
        <v>16333333.33333333</v>
      </c>
      <c r="D45" s="441">
        <f>+D44</f>
        <v>666666.66666666663</v>
      </c>
      <c r="E45" s="441">
        <f t="shared" si="0"/>
        <v>15666666.666666664</v>
      </c>
      <c r="F45" s="430" t="e">
        <f>+C$26*E45+D45</f>
        <v>#REF!</v>
      </c>
      <c r="G45" s="441">
        <f>+G44</f>
        <v>25928571.428571425</v>
      </c>
      <c r="H45" s="441">
        <f>+H44</f>
        <v>857142.85714285716</v>
      </c>
      <c r="I45" s="441">
        <f t="shared" si="2"/>
        <v>25071428.571428567</v>
      </c>
      <c r="J45" s="430" t="e">
        <f>+G$26*I45+H45</f>
        <v>#REF!</v>
      </c>
      <c r="K45" s="444">
        <f>+K44</f>
        <v>17875000</v>
      </c>
      <c r="L45" s="441">
        <f>+L44</f>
        <v>500000</v>
      </c>
      <c r="M45" s="441">
        <f t="shared" si="3"/>
        <v>17375000</v>
      </c>
      <c r="N45" s="430" t="e">
        <f>+K$26*M45+L45</f>
        <v>#REF!</v>
      </c>
      <c r="O45" s="444">
        <f>+O44</f>
        <v>27625000</v>
      </c>
      <c r="P45" s="441">
        <f>+P44</f>
        <v>750000</v>
      </c>
      <c r="Q45" s="441">
        <f t="shared" si="5"/>
        <v>26875000</v>
      </c>
      <c r="R45" s="430" t="e">
        <f>+O$26*Q45+P45</f>
        <v>#REF!</v>
      </c>
      <c r="S45" s="444">
        <f>+S44</f>
        <v>18083333.333333332</v>
      </c>
      <c r="T45" s="441">
        <f>+T44</f>
        <v>500000</v>
      </c>
      <c r="U45" s="441">
        <f t="shared" si="6"/>
        <v>17583333.333333332</v>
      </c>
      <c r="V45" s="430" t="e">
        <f>+S$26*U45+T45</f>
        <v>#REF!</v>
      </c>
      <c r="W45" s="444">
        <f>+W44</f>
        <v>28000000</v>
      </c>
      <c r="X45" s="441">
        <f>+X44</f>
        <v>750000</v>
      </c>
      <c r="Y45" s="441">
        <f t="shared" si="7"/>
        <v>27250000</v>
      </c>
      <c r="Z45" s="430" t="e">
        <f>+W$26*Y45+X45</f>
        <v>#REF!</v>
      </c>
      <c r="AA45" s="444">
        <f>+AA44</f>
        <v>18809523.80952381</v>
      </c>
      <c r="AB45" s="441">
        <f>+AB44</f>
        <v>571428.57142857148</v>
      </c>
      <c r="AC45" s="441">
        <f t="shared" si="8"/>
        <v>18238095.238095239</v>
      </c>
      <c r="AD45" s="430" t="e">
        <f>+AA$26*AC45+AB45</f>
        <v>#REF!</v>
      </c>
      <c r="AE45" s="444">
        <f>+AE44</f>
        <v>28400000</v>
      </c>
      <c r="AF45" s="441">
        <f>+AF44</f>
        <v>1200000</v>
      </c>
      <c r="AG45" s="441">
        <f t="shared" si="9"/>
        <v>27200000</v>
      </c>
      <c r="AH45" s="430" t="e">
        <f>+AE$26*AG45+AF45</f>
        <v>#REF!</v>
      </c>
      <c r="AI45" s="444">
        <f>+AI44</f>
        <v>19166666.666666664</v>
      </c>
      <c r="AJ45" s="441">
        <f>+AJ44</f>
        <v>666666.66666666663</v>
      </c>
      <c r="AK45" s="441">
        <f t="shared" si="10"/>
        <v>18499999.999999996</v>
      </c>
      <c r="AL45" s="430" t="e">
        <f>+AI$26*AK45+AJ45</f>
        <v>#REF!</v>
      </c>
      <c r="AM45" s="460" t="e">
        <f t="shared" si="1"/>
        <v>#REF!</v>
      </c>
      <c r="AN45" s="443" t="e">
        <f>+AM45</f>
        <v>#REF!</v>
      </c>
      <c r="AO45" s="377"/>
    </row>
    <row r="46" spans="1:41">
      <c r="A46" s="379" t="s">
        <v>502</v>
      </c>
      <c r="B46" s="440">
        <f t="shared" si="4"/>
        <v>2012</v>
      </c>
      <c r="C46" s="441">
        <f>+E45</f>
        <v>15666666.666666664</v>
      </c>
      <c r="D46" s="441">
        <f>+C$28</f>
        <v>666666.66666666663</v>
      </c>
      <c r="E46" s="441">
        <f t="shared" si="0"/>
        <v>14999999.999999998</v>
      </c>
      <c r="F46" s="430" t="e">
        <f>+C$25*E46+D46</f>
        <v>#REF!</v>
      </c>
      <c r="G46" s="441">
        <f>+I45</f>
        <v>25071428.571428567</v>
      </c>
      <c r="H46" s="441">
        <f>+G$28</f>
        <v>857142.85714285716</v>
      </c>
      <c r="I46" s="441">
        <f t="shared" si="2"/>
        <v>24214285.714285709</v>
      </c>
      <c r="J46" s="430" t="e">
        <f>+G$25*I46+H46</f>
        <v>#REF!</v>
      </c>
      <c r="K46" s="444">
        <f>+M45</f>
        <v>17375000</v>
      </c>
      <c r="L46" s="441">
        <f>+K$28</f>
        <v>500000</v>
      </c>
      <c r="M46" s="441">
        <f t="shared" si="3"/>
        <v>16875000</v>
      </c>
      <c r="N46" s="430" t="e">
        <f>+K$25*M46+L46</f>
        <v>#REF!</v>
      </c>
      <c r="O46" s="444">
        <f>+Q45</f>
        <v>26875000</v>
      </c>
      <c r="P46" s="441">
        <f>+O$28</f>
        <v>750000</v>
      </c>
      <c r="Q46" s="441">
        <f t="shared" si="5"/>
        <v>26125000</v>
      </c>
      <c r="R46" s="430" t="e">
        <f>+O$25*Q46+P46</f>
        <v>#REF!</v>
      </c>
      <c r="S46" s="444">
        <f>+U45</f>
        <v>17583333.333333332</v>
      </c>
      <c r="T46" s="441">
        <f>+S$28</f>
        <v>500000</v>
      </c>
      <c r="U46" s="441">
        <f t="shared" si="6"/>
        <v>17083333.333333332</v>
      </c>
      <c r="V46" s="430" t="e">
        <f>+S$25*U46+T46</f>
        <v>#REF!</v>
      </c>
      <c r="W46" s="444">
        <f>+Y45</f>
        <v>27250000</v>
      </c>
      <c r="X46" s="441">
        <f>+W$28</f>
        <v>750000</v>
      </c>
      <c r="Y46" s="441">
        <f t="shared" si="7"/>
        <v>26500000</v>
      </c>
      <c r="Z46" s="430" t="e">
        <f>+W$25*Y46+X46</f>
        <v>#REF!</v>
      </c>
      <c r="AA46" s="444">
        <f>+AC45</f>
        <v>18238095.238095239</v>
      </c>
      <c r="AB46" s="441">
        <f>+AA$28</f>
        <v>571428.57142857148</v>
      </c>
      <c r="AC46" s="441">
        <f t="shared" si="8"/>
        <v>17666666.666666668</v>
      </c>
      <c r="AD46" s="430" t="e">
        <f>+AA$25*AC46+AB46</f>
        <v>#REF!</v>
      </c>
      <c r="AE46" s="444">
        <f>+AG45</f>
        <v>27200000</v>
      </c>
      <c r="AF46" s="441">
        <f>+AE$28</f>
        <v>1200000</v>
      </c>
      <c r="AG46" s="441">
        <f t="shared" si="9"/>
        <v>26000000</v>
      </c>
      <c r="AH46" s="430" t="e">
        <f>+AE$25*AG46+AF46</f>
        <v>#REF!</v>
      </c>
      <c r="AI46" s="444">
        <f>+AK45</f>
        <v>18499999.999999996</v>
      </c>
      <c r="AJ46" s="441">
        <f>+AI$28</f>
        <v>666666.66666666663</v>
      </c>
      <c r="AK46" s="441">
        <f t="shared" si="10"/>
        <v>17833333.333333328</v>
      </c>
      <c r="AL46" s="430" t="e">
        <f>+AI$25*AK46+AJ46</f>
        <v>#REF!</v>
      </c>
      <c r="AM46" s="460" t="e">
        <f t="shared" si="1"/>
        <v>#REF!</v>
      </c>
      <c r="AN46" s="185"/>
      <c r="AO46" s="442" t="e">
        <f>+AM46</f>
        <v>#REF!</v>
      </c>
    </row>
    <row r="47" spans="1:41">
      <c r="A47" s="379" t="s">
        <v>467</v>
      </c>
      <c r="B47" s="440">
        <f t="shared" si="4"/>
        <v>2012</v>
      </c>
      <c r="C47" s="441">
        <f>+C46</f>
        <v>15666666.666666664</v>
      </c>
      <c r="D47" s="441">
        <f>+D46</f>
        <v>666666.66666666663</v>
      </c>
      <c r="E47" s="441">
        <f t="shared" si="0"/>
        <v>14999999.999999998</v>
      </c>
      <c r="F47" s="430" t="e">
        <f>+C$26*E47+D47</f>
        <v>#REF!</v>
      </c>
      <c r="G47" s="441">
        <f>+G46</f>
        <v>25071428.571428567</v>
      </c>
      <c r="H47" s="441">
        <f>+H46</f>
        <v>857142.85714285716</v>
      </c>
      <c r="I47" s="441">
        <f t="shared" si="2"/>
        <v>24214285.714285709</v>
      </c>
      <c r="J47" s="430" t="e">
        <f>+G$26*I47+H47</f>
        <v>#REF!</v>
      </c>
      <c r="K47" s="444">
        <f>+K46</f>
        <v>17375000</v>
      </c>
      <c r="L47" s="441">
        <f>+L46</f>
        <v>500000</v>
      </c>
      <c r="M47" s="441">
        <f t="shared" si="3"/>
        <v>16875000</v>
      </c>
      <c r="N47" s="430" t="e">
        <f>+K$26*M47+L47</f>
        <v>#REF!</v>
      </c>
      <c r="O47" s="444">
        <f>+O46</f>
        <v>26875000</v>
      </c>
      <c r="P47" s="441">
        <f>+P46</f>
        <v>750000</v>
      </c>
      <c r="Q47" s="441">
        <f t="shared" si="5"/>
        <v>26125000</v>
      </c>
      <c r="R47" s="430" t="e">
        <f>+O$26*Q47+P47</f>
        <v>#REF!</v>
      </c>
      <c r="S47" s="444">
        <f>+S46</f>
        <v>17583333.333333332</v>
      </c>
      <c r="T47" s="441">
        <f>+T46</f>
        <v>500000</v>
      </c>
      <c r="U47" s="441">
        <f t="shared" si="6"/>
        <v>17083333.333333332</v>
      </c>
      <c r="V47" s="430" t="e">
        <f>+S$26*U47+T47</f>
        <v>#REF!</v>
      </c>
      <c r="W47" s="444">
        <f>+W46</f>
        <v>27250000</v>
      </c>
      <c r="X47" s="441">
        <f>+X46</f>
        <v>750000</v>
      </c>
      <c r="Y47" s="441">
        <f t="shared" si="7"/>
        <v>26500000</v>
      </c>
      <c r="Z47" s="430" t="e">
        <f>+W$26*Y47+X47</f>
        <v>#REF!</v>
      </c>
      <c r="AA47" s="444">
        <f>+AA46</f>
        <v>18238095.238095239</v>
      </c>
      <c r="AB47" s="441">
        <f>+AB46</f>
        <v>571428.57142857148</v>
      </c>
      <c r="AC47" s="441">
        <f t="shared" si="8"/>
        <v>17666666.666666668</v>
      </c>
      <c r="AD47" s="430" t="e">
        <f>+AA$26*AC47+AB47</f>
        <v>#REF!</v>
      </c>
      <c r="AE47" s="444">
        <f>+AE46</f>
        <v>27200000</v>
      </c>
      <c r="AF47" s="441">
        <f>+AF46</f>
        <v>1200000</v>
      </c>
      <c r="AG47" s="441">
        <f t="shared" si="9"/>
        <v>26000000</v>
      </c>
      <c r="AH47" s="430" t="e">
        <f>+AE$26*AG47+AF47</f>
        <v>#REF!</v>
      </c>
      <c r="AI47" s="444">
        <f>+AI46</f>
        <v>18499999.999999996</v>
      </c>
      <c r="AJ47" s="441">
        <f>+AJ46</f>
        <v>666666.66666666663</v>
      </c>
      <c r="AK47" s="441">
        <f t="shared" si="10"/>
        <v>17833333.333333328</v>
      </c>
      <c r="AL47" s="430" t="e">
        <f>+AI$26*AK47+AJ47</f>
        <v>#REF!</v>
      </c>
      <c r="AM47" s="460" t="e">
        <f t="shared" si="1"/>
        <v>#REF!</v>
      </c>
      <c r="AN47" s="443" t="e">
        <f>+AM47</f>
        <v>#REF!</v>
      </c>
      <c r="AO47" s="377"/>
    </row>
    <row r="48" spans="1:41">
      <c r="A48" s="379" t="s">
        <v>502</v>
      </c>
      <c r="B48" s="440">
        <f t="shared" si="4"/>
        <v>2013</v>
      </c>
      <c r="C48" s="441">
        <f>+E47</f>
        <v>14999999.999999998</v>
      </c>
      <c r="D48" s="441">
        <f>+C$28</f>
        <v>666666.66666666663</v>
      </c>
      <c r="E48" s="441">
        <f t="shared" si="0"/>
        <v>14333333.333333332</v>
      </c>
      <c r="F48" s="430" t="e">
        <f>+C$25*E48+D48</f>
        <v>#REF!</v>
      </c>
      <c r="G48" s="441">
        <f>+I47</f>
        <v>24214285.714285709</v>
      </c>
      <c r="H48" s="441">
        <f>+G$28</f>
        <v>857142.85714285716</v>
      </c>
      <c r="I48" s="441">
        <f t="shared" si="2"/>
        <v>23357142.857142851</v>
      </c>
      <c r="J48" s="430" t="e">
        <f>+G$25*I48+H48</f>
        <v>#REF!</v>
      </c>
      <c r="K48" s="444">
        <f>+M47</f>
        <v>16875000</v>
      </c>
      <c r="L48" s="441">
        <f>+K$28</f>
        <v>500000</v>
      </c>
      <c r="M48" s="441">
        <f t="shared" si="3"/>
        <v>16375000</v>
      </c>
      <c r="N48" s="430" t="e">
        <f>+K$25*M48+L48</f>
        <v>#REF!</v>
      </c>
      <c r="O48" s="444">
        <f>+Q47</f>
        <v>26125000</v>
      </c>
      <c r="P48" s="441">
        <f>+O$28</f>
        <v>750000</v>
      </c>
      <c r="Q48" s="441">
        <f t="shared" si="5"/>
        <v>25375000</v>
      </c>
      <c r="R48" s="430" t="e">
        <f>+O$25*Q48+P48</f>
        <v>#REF!</v>
      </c>
      <c r="S48" s="444">
        <f>+U47</f>
        <v>17083333.333333332</v>
      </c>
      <c r="T48" s="441">
        <f>+S$28</f>
        <v>500000</v>
      </c>
      <c r="U48" s="441">
        <f t="shared" si="6"/>
        <v>16583333.333333332</v>
      </c>
      <c r="V48" s="430" t="e">
        <f>+S$25*U48+T48</f>
        <v>#REF!</v>
      </c>
      <c r="W48" s="444">
        <f>+Y47</f>
        <v>26500000</v>
      </c>
      <c r="X48" s="441">
        <f>+W$28</f>
        <v>750000</v>
      </c>
      <c r="Y48" s="441">
        <f t="shared" si="7"/>
        <v>25750000</v>
      </c>
      <c r="Z48" s="430" t="e">
        <f>+W$25*Y48+X48</f>
        <v>#REF!</v>
      </c>
      <c r="AA48" s="444">
        <f>+AC47</f>
        <v>17666666.666666668</v>
      </c>
      <c r="AB48" s="441">
        <f>+AA$28</f>
        <v>571428.57142857148</v>
      </c>
      <c r="AC48" s="441">
        <f t="shared" si="8"/>
        <v>17095238.095238097</v>
      </c>
      <c r="AD48" s="430" t="e">
        <f>+AA$25*AC48+AB48</f>
        <v>#REF!</v>
      </c>
      <c r="AE48" s="444">
        <f>+AG47</f>
        <v>26000000</v>
      </c>
      <c r="AF48" s="441">
        <f>+AE$28</f>
        <v>1200000</v>
      </c>
      <c r="AG48" s="441">
        <f t="shared" si="9"/>
        <v>24800000</v>
      </c>
      <c r="AH48" s="430" t="e">
        <f>+AE$25*AG48+AF48</f>
        <v>#REF!</v>
      </c>
      <c r="AI48" s="444">
        <f>+AK47</f>
        <v>17833333.333333328</v>
      </c>
      <c r="AJ48" s="441">
        <f>+AI$28</f>
        <v>666666.66666666663</v>
      </c>
      <c r="AK48" s="441">
        <f t="shared" si="10"/>
        <v>17166666.66666666</v>
      </c>
      <c r="AL48" s="430" t="e">
        <f>+AI$25*AK48+AJ48</f>
        <v>#REF!</v>
      </c>
      <c r="AM48" s="460" t="e">
        <f t="shared" si="1"/>
        <v>#REF!</v>
      </c>
      <c r="AN48" s="185"/>
      <c r="AO48" s="442" t="e">
        <f>+AM48</f>
        <v>#REF!</v>
      </c>
    </row>
    <row r="49" spans="1:41">
      <c r="A49" s="379" t="s">
        <v>467</v>
      </c>
      <c r="B49" s="440">
        <f t="shared" si="4"/>
        <v>2013</v>
      </c>
      <c r="C49" s="441">
        <f>+C48</f>
        <v>14999999.999999998</v>
      </c>
      <c r="D49" s="441">
        <f>+D48</f>
        <v>666666.66666666663</v>
      </c>
      <c r="E49" s="441">
        <f t="shared" si="0"/>
        <v>14333333.333333332</v>
      </c>
      <c r="F49" s="430" t="e">
        <f>+C$26*E49+D49</f>
        <v>#REF!</v>
      </c>
      <c r="G49" s="441">
        <f>+G48</f>
        <v>24214285.714285709</v>
      </c>
      <c r="H49" s="441">
        <f>+H48</f>
        <v>857142.85714285716</v>
      </c>
      <c r="I49" s="441">
        <f t="shared" si="2"/>
        <v>23357142.857142851</v>
      </c>
      <c r="J49" s="430" t="e">
        <f>+G$26*I49+H49</f>
        <v>#REF!</v>
      </c>
      <c r="K49" s="444">
        <f>+K48</f>
        <v>16875000</v>
      </c>
      <c r="L49" s="441">
        <f>+L48</f>
        <v>500000</v>
      </c>
      <c r="M49" s="441">
        <f t="shared" si="3"/>
        <v>16375000</v>
      </c>
      <c r="N49" s="430" t="e">
        <f>+K$26*M49+L49</f>
        <v>#REF!</v>
      </c>
      <c r="O49" s="444">
        <f>+O48</f>
        <v>26125000</v>
      </c>
      <c r="P49" s="441">
        <f>+P48</f>
        <v>750000</v>
      </c>
      <c r="Q49" s="441">
        <f t="shared" si="5"/>
        <v>25375000</v>
      </c>
      <c r="R49" s="430" t="e">
        <f>+O$26*Q49+P49</f>
        <v>#REF!</v>
      </c>
      <c r="S49" s="444">
        <f>+S48</f>
        <v>17083333.333333332</v>
      </c>
      <c r="T49" s="441">
        <f>+T48</f>
        <v>500000</v>
      </c>
      <c r="U49" s="441">
        <f t="shared" si="6"/>
        <v>16583333.333333332</v>
      </c>
      <c r="V49" s="430" t="e">
        <f>+S$26*U49+T49</f>
        <v>#REF!</v>
      </c>
      <c r="W49" s="444">
        <f>+W48</f>
        <v>26500000</v>
      </c>
      <c r="X49" s="441">
        <f>+X48</f>
        <v>750000</v>
      </c>
      <c r="Y49" s="441">
        <f t="shared" si="7"/>
        <v>25750000</v>
      </c>
      <c r="Z49" s="430" t="e">
        <f>+W$26*Y49+X49</f>
        <v>#REF!</v>
      </c>
      <c r="AA49" s="444">
        <f>+AA48</f>
        <v>17666666.666666668</v>
      </c>
      <c r="AB49" s="441">
        <f>+AB48</f>
        <v>571428.57142857148</v>
      </c>
      <c r="AC49" s="441">
        <f t="shared" si="8"/>
        <v>17095238.095238097</v>
      </c>
      <c r="AD49" s="430" t="e">
        <f>+AA$26*AC49+AB49</f>
        <v>#REF!</v>
      </c>
      <c r="AE49" s="444">
        <f>+AE48</f>
        <v>26000000</v>
      </c>
      <c r="AF49" s="441">
        <f>+AF48</f>
        <v>1200000</v>
      </c>
      <c r="AG49" s="441">
        <f t="shared" si="9"/>
        <v>24800000</v>
      </c>
      <c r="AH49" s="430" t="e">
        <f>+AE$26*AG49+AF49</f>
        <v>#REF!</v>
      </c>
      <c r="AI49" s="444">
        <f>+AI48</f>
        <v>17833333.333333328</v>
      </c>
      <c r="AJ49" s="441">
        <f>+AJ48</f>
        <v>666666.66666666663</v>
      </c>
      <c r="AK49" s="441">
        <f t="shared" si="10"/>
        <v>17166666.66666666</v>
      </c>
      <c r="AL49" s="430" t="e">
        <f>+AI$26*AK49+AJ49</f>
        <v>#REF!</v>
      </c>
      <c r="AM49" s="460" t="e">
        <f t="shared" si="1"/>
        <v>#REF!</v>
      </c>
      <c r="AN49" s="443" t="e">
        <f>+AM49</f>
        <v>#REF!</v>
      </c>
      <c r="AO49" s="377"/>
    </row>
    <row r="50" spans="1:41">
      <c r="A50" s="379" t="s">
        <v>502</v>
      </c>
      <c r="B50" s="440">
        <f t="shared" si="4"/>
        <v>2014</v>
      </c>
      <c r="C50" s="441">
        <f>+E49</f>
        <v>14333333.333333332</v>
      </c>
      <c r="D50" s="441">
        <f>+C$28</f>
        <v>666666.66666666663</v>
      </c>
      <c r="E50" s="441">
        <f t="shared" si="0"/>
        <v>13666666.666666666</v>
      </c>
      <c r="F50" s="430" t="e">
        <f>+C$25*E50+D50</f>
        <v>#REF!</v>
      </c>
      <c r="G50" s="441">
        <f>+I49</f>
        <v>23357142.857142851</v>
      </c>
      <c r="H50" s="441">
        <f>+G$28</f>
        <v>857142.85714285716</v>
      </c>
      <c r="I50" s="441">
        <f t="shared" si="2"/>
        <v>22499999.999999993</v>
      </c>
      <c r="J50" s="430" t="e">
        <f>+G$25*I50+H50</f>
        <v>#REF!</v>
      </c>
      <c r="K50" s="444">
        <f>+M49</f>
        <v>16375000</v>
      </c>
      <c r="L50" s="441">
        <f>+K$28</f>
        <v>500000</v>
      </c>
      <c r="M50" s="441">
        <f t="shared" si="3"/>
        <v>15875000</v>
      </c>
      <c r="N50" s="430" t="e">
        <f>+K$25*M50+L50</f>
        <v>#REF!</v>
      </c>
      <c r="O50" s="444">
        <f>+Q49</f>
        <v>25375000</v>
      </c>
      <c r="P50" s="441">
        <f>+O$28</f>
        <v>750000</v>
      </c>
      <c r="Q50" s="441">
        <f t="shared" si="5"/>
        <v>24625000</v>
      </c>
      <c r="R50" s="430" t="e">
        <f>+O$25*Q50+P50</f>
        <v>#REF!</v>
      </c>
      <c r="S50" s="444">
        <f>+U49</f>
        <v>16583333.333333332</v>
      </c>
      <c r="T50" s="441">
        <f>+S$28</f>
        <v>500000</v>
      </c>
      <c r="U50" s="441">
        <f t="shared" si="6"/>
        <v>16083333.333333332</v>
      </c>
      <c r="V50" s="430" t="e">
        <f>+S$25*U50+T50</f>
        <v>#REF!</v>
      </c>
      <c r="W50" s="444">
        <f>+Y49</f>
        <v>25750000</v>
      </c>
      <c r="X50" s="441">
        <f>+W$28</f>
        <v>750000</v>
      </c>
      <c r="Y50" s="441">
        <f t="shared" si="7"/>
        <v>25000000</v>
      </c>
      <c r="Z50" s="430" t="e">
        <f>+W$25*Y50+X50</f>
        <v>#REF!</v>
      </c>
      <c r="AA50" s="444">
        <f>+AC49</f>
        <v>17095238.095238097</v>
      </c>
      <c r="AB50" s="441">
        <f>+AA$28</f>
        <v>571428.57142857148</v>
      </c>
      <c r="AC50" s="441">
        <f t="shared" si="8"/>
        <v>16523809.523809526</v>
      </c>
      <c r="AD50" s="430" t="e">
        <f>+AA$25*AC50+AB50</f>
        <v>#REF!</v>
      </c>
      <c r="AE50" s="444">
        <f>+AG49</f>
        <v>24800000</v>
      </c>
      <c r="AF50" s="441">
        <f>+AE$28</f>
        <v>1200000</v>
      </c>
      <c r="AG50" s="441">
        <f t="shared" si="9"/>
        <v>23600000</v>
      </c>
      <c r="AH50" s="430" t="e">
        <f>+AE$25*AG50+AF50</f>
        <v>#REF!</v>
      </c>
      <c r="AI50" s="444">
        <f>+AK49</f>
        <v>17166666.66666666</v>
      </c>
      <c r="AJ50" s="441">
        <f>+AI$28</f>
        <v>666666.66666666663</v>
      </c>
      <c r="AK50" s="441">
        <f t="shared" si="10"/>
        <v>16499999.999999994</v>
      </c>
      <c r="AL50" s="430" t="e">
        <f>+AI$25*AK50+AJ50</f>
        <v>#REF!</v>
      </c>
      <c r="AM50" s="460" t="e">
        <f t="shared" si="1"/>
        <v>#REF!</v>
      </c>
      <c r="AN50" s="185"/>
      <c r="AO50" s="442" t="e">
        <f>+AM50</f>
        <v>#REF!</v>
      </c>
    </row>
    <row r="51" spans="1:41">
      <c r="A51" s="379" t="s">
        <v>467</v>
      </c>
      <c r="B51" s="440">
        <f t="shared" si="4"/>
        <v>2014</v>
      </c>
      <c r="C51" s="441">
        <f>+C50</f>
        <v>14333333.333333332</v>
      </c>
      <c r="D51" s="441">
        <f>+D50</f>
        <v>666666.66666666663</v>
      </c>
      <c r="E51" s="441">
        <f t="shared" si="0"/>
        <v>13666666.666666666</v>
      </c>
      <c r="F51" s="430" t="e">
        <f>+C$26*E51+D51</f>
        <v>#REF!</v>
      </c>
      <c r="G51" s="441">
        <f>+G50</f>
        <v>23357142.857142851</v>
      </c>
      <c r="H51" s="441">
        <f>+H50</f>
        <v>857142.85714285716</v>
      </c>
      <c r="I51" s="441">
        <f t="shared" si="2"/>
        <v>22499999.999999993</v>
      </c>
      <c r="J51" s="430" t="e">
        <f>+G$26*I51+H51</f>
        <v>#REF!</v>
      </c>
      <c r="K51" s="444">
        <f>+K50</f>
        <v>16375000</v>
      </c>
      <c r="L51" s="441">
        <f>+L50</f>
        <v>500000</v>
      </c>
      <c r="M51" s="441">
        <f t="shared" si="3"/>
        <v>15875000</v>
      </c>
      <c r="N51" s="430" t="e">
        <f>+K$26*M51+L51</f>
        <v>#REF!</v>
      </c>
      <c r="O51" s="444">
        <f>+O50</f>
        <v>25375000</v>
      </c>
      <c r="P51" s="441">
        <f>+P50</f>
        <v>750000</v>
      </c>
      <c r="Q51" s="441">
        <f t="shared" si="5"/>
        <v>24625000</v>
      </c>
      <c r="R51" s="430" t="e">
        <f>+O$26*Q51+P51</f>
        <v>#REF!</v>
      </c>
      <c r="S51" s="444">
        <f>+S50</f>
        <v>16583333.333333332</v>
      </c>
      <c r="T51" s="441">
        <f>+T50</f>
        <v>500000</v>
      </c>
      <c r="U51" s="441">
        <f t="shared" si="6"/>
        <v>16083333.333333332</v>
      </c>
      <c r="V51" s="430" t="e">
        <f>+S$26*U51+T51</f>
        <v>#REF!</v>
      </c>
      <c r="W51" s="444">
        <f>+W50</f>
        <v>25750000</v>
      </c>
      <c r="X51" s="441">
        <f>+X50</f>
        <v>750000</v>
      </c>
      <c r="Y51" s="441">
        <f t="shared" si="7"/>
        <v>25000000</v>
      </c>
      <c r="Z51" s="430" t="e">
        <f>+W$26*Y51+X51</f>
        <v>#REF!</v>
      </c>
      <c r="AA51" s="444">
        <f>+AA50</f>
        <v>17095238.095238097</v>
      </c>
      <c r="AB51" s="441">
        <f>+AB50</f>
        <v>571428.57142857148</v>
      </c>
      <c r="AC51" s="441">
        <f t="shared" si="8"/>
        <v>16523809.523809526</v>
      </c>
      <c r="AD51" s="430" t="e">
        <f>+AA$26*AC51+AB51</f>
        <v>#REF!</v>
      </c>
      <c r="AE51" s="444">
        <f>+AE50</f>
        <v>24800000</v>
      </c>
      <c r="AF51" s="441">
        <f>+AF50</f>
        <v>1200000</v>
      </c>
      <c r="AG51" s="441">
        <f t="shared" si="9"/>
        <v>23600000</v>
      </c>
      <c r="AH51" s="430" t="e">
        <f>+AE$26*AG51+AF51</f>
        <v>#REF!</v>
      </c>
      <c r="AI51" s="444">
        <f>+AI50</f>
        <v>17166666.66666666</v>
      </c>
      <c r="AJ51" s="441">
        <f>+AJ50</f>
        <v>666666.66666666663</v>
      </c>
      <c r="AK51" s="441">
        <f t="shared" si="10"/>
        <v>16499999.999999994</v>
      </c>
      <c r="AL51" s="430" t="e">
        <f>+AI$26*AK51+AJ51</f>
        <v>#REF!</v>
      </c>
      <c r="AM51" s="460" t="e">
        <f t="shared" si="1"/>
        <v>#REF!</v>
      </c>
      <c r="AN51" s="443" t="e">
        <f>+AM51</f>
        <v>#REF!</v>
      </c>
      <c r="AO51" s="377"/>
    </row>
    <row r="52" spans="1:41">
      <c r="A52" s="379" t="s">
        <v>502</v>
      </c>
      <c r="B52" s="440">
        <f t="shared" si="4"/>
        <v>2015</v>
      </c>
      <c r="C52" s="441">
        <f>+E51</f>
        <v>13666666.666666666</v>
      </c>
      <c r="D52" s="441">
        <f>+C$28</f>
        <v>666666.66666666663</v>
      </c>
      <c r="E52" s="441">
        <f t="shared" si="0"/>
        <v>13000000</v>
      </c>
      <c r="F52" s="430" t="e">
        <f>+C$25*E52+D52</f>
        <v>#REF!</v>
      </c>
      <c r="G52" s="441">
        <f>+I51</f>
        <v>22499999.999999993</v>
      </c>
      <c r="H52" s="441">
        <f>+G$28</f>
        <v>857142.85714285716</v>
      </c>
      <c r="I52" s="441">
        <f t="shared" si="2"/>
        <v>21642857.142857134</v>
      </c>
      <c r="J52" s="430" t="e">
        <f>+G$25*I52+H52</f>
        <v>#REF!</v>
      </c>
      <c r="K52" s="444">
        <f>+M51</f>
        <v>15875000</v>
      </c>
      <c r="L52" s="441">
        <f>+K$28</f>
        <v>500000</v>
      </c>
      <c r="M52" s="441">
        <f t="shared" si="3"/>
        <v>15375000</v>
      </c>
      <c r="N52" s="430" t="e">
        <f>+K$25*M52+L52</f>
        <v>#REF!</v>
      </c>
      <c r="O52" s="444">
        <f>+Q51</f>
        <v>24625000</v>
      </c>
      <c r="P52" s="441">
        <f>+O$28</f>
        <v>750000</v>
      </c>
      <c r="Q52" s="441">
        <f t="shared" si="5"/>
        <v>23875000</v>
      </c>
      <c r="R52" s="430" t="e">
        <f>+O$25*Q52+P52</f>
        <v>#REF!</v>
      </c>
      <c r="S52" s="444">
        <f>+U51</f>
        <v>16083333.333333332</v>
      </c>
      <c r="T52" s="441">
        <f>+S$28</f>
        <v>500000</v>
      </c>
      <c r="U52" s="441">
        <f t="shared" si="6"/>
        <v>15583333.333333332</v>
      </c>
      <c r="V52" s="430" t="e">
        <f>+S$25*U52+T52</f>
        <v>#REF!</v>
      </c>
      <c r="W52" s="444">
        <f>+Y51</f>
        <v>25000000</v>
      </c>
      <c r="X52" s="441">
        <f>+W$28</f>
        <v>750000</v>
      </c>
      <c r="Y52" s="441">
        <f t="shared" si="7"/>
        <v>24250000</v>
      </c>
      <c r="Z52" s="430" t="e">
        <f>+W$25*Y52+X52</f>
        <v>#REF!</v>
      </c>
      <c r="AA52" s="444">
        <f>+AC51</f>
        <v>16523809.523809526</v>
      </c>
      <c r="AB52" s="441">
        <f>+AA$28</f>
        <v>571428.57142857148</v>
      </c>
      <c r="AC52" s="441">
        <f t="shared" si="8"/>
        <v>15952380.952380955</v>
      </c>
      <c r="AD52" s="430" t="e">
        <f>+AA$25*AC52+AB52</f>
        <v>#REF!</v>
      </c>
      <c r="AE52" s="444">
        <f>+AG51</f>
        <v>23600000</v>
      </c>
      <c r="AF52" s="441">
        <f>+AE$28</f>
        <v>1200000</v>
      </c>
      <c r="AG52" s="441">
        <f t="shared" si="9"/>
        <v>22400000</v>
      </c>
      <c r="AH52" s="430" t="e">
        <f>+AE$25*AG52+AF52</f>
        <v>#REF!</v>
      </c>
      <c r="AI52" s="444">
        <f>+AK51</f>
        <v>16499999.999999994</v>
      </c>
      <c r="AJ52" s="441">
        <f>+AI$28</f>
        <v>666666.66666666663</v>
      </c>
      <c r="AK52" s="441">
        <f t="shared" si="10"/>
        <v>15833333.333333328</v>
      </c>
      <c r="AL52" s="430" t="e">
        <f>+AI$25*AK52+AJ52</f>
        <v>#REF!</v>
      </c>
      <c r="AM52" s="460" t="e">
        <f t="shared" si="1"/>
        <v>#REF!</v>
      </c>
      <c r="AN52" s="185"/>
      <c r="AO52" s="442" t="e">
        <f>+AM52</f>
        <v>#REF!</v>
      </c>
    </row>
    <row r="53" spans="1:41">
      <c r="A53" s="379" t="s">
        <v>467</v>
      </c>
      <c r="B53" s="440">
        <f t="shared" si="4"/>
        <v>2015</v>
      </c>
      <c r="C53" s="441">
        <f>+C52</f>
        <v>13666666.666666666</v>
      </c>
      <c r="D53" s="441">
        <f>+D52</f>
        <v>666666.66666666663</v>
      </c>
      <c r="E53" s="441">
        <f t="shared" si="0"/>
        <v>13000000</v>
      </c>
      <c r="F53" s="430" t="e">
        <f>+C$26*E53+D53</f>
        <v>#REF!</v>
      </c>
      <c r="G53" s="441">
        <f>+G52</f>
        <v>22499999.999999993</v>
      </c>
      <c r="H53" s="441">
        <f>+H52</f>
        <v>857142.85714285716</v>
      </c>
      <c r="I53" s="441">
        <f t="shared" si="2"/>
        <v>21642857.142857134</v>
      </c>
      <c r="J53" s="430" t="e">
        <f>+G$26*I53+H53</f>
        <v>#REF!</v>
      </c>
      <c r="K53" s="444">
        <f>+K52</f>
        <v>15875000</v>
      </c>
      <c r="L53" s="441">
        <f>+L52</f>
        <v>500000</v>
      </c>
      <c r="M53" s="441">
        <f t="shared" si="3"/>
        <v>15375000</v>
      </c>
      <c r="N53" s="430" t="e">
        <f>+K$26*M53+L53</f>
        <v>#REF!</v>
      </c>
      <c r="O53" s="444">
        <f>+O52</f>
        <v>24625000</v>
      </c>
      <c r="P53" s="441">
        <f>+P52</f>
        <v>750000</v>
      </c>
      <c r="Q53" s="441">
        <f t="shared" si="5"/>
        <v>23875000</v>
      </c>
      <c r="R53" s="430" t="e">
        <f>+O$26*Q53+P53</f>
        <v>#REF!</v>
      </c>
      <c r="S53" s="444">
        <f>+S52</f>
        <v>16083333.333333332</v>
      </c>
      <c r="T53" s="441">
        <f>+T52</f>
        <v>500000</v>
      </c>
      <c r="U53" s="441">
        <f t="shared" si="6"/>
        <v>15583333.333333332</v>
      </c>
      <c r="V53" s="430" t="e">
        <f>+S$26*U53+T53</f>
        <v>#REF!</v>
      </c>
      <c r="W53" s="444">
        <f>+W52</f>
        <v>25000000</v>
      </c>
      <c r="X53" s="441">
        <f>+X52</f>
        <v>750000</v>
      </c>
      <c r="Y53" s="441">
        <f t="shared" si="7"/>
        <v>24250000</v>
      </c>
      <c r="Z53" s="430" t="e">
        <f>+W$26*Y53+X53</f>
        <v>#REF!</v>
      </c>
      <c r="AA53" s="444">
        <f>+AA52</f>
        <v>16523809.523809526</v>
      </c>
      <c r="AB53" s="441">
        <f>+AB52</f>
        <v>571428.57142857148</v>
      </c>
      <c r="AC53" s="441">
        <f t="shared" si="8"/>
        <v>15952380.952380955</v>
      </c>
      <c r="AD53" s="430" t="e">
        <f>+AA$26*AC53+AB53</f>
        <v>#REF!</v>
      </c>
      <c r="AE53" s="444">
        <f>+AE52</f>
        <v>23600000</v>
      </c>
      <c r="AF53" s="441">
        <f>+AF52</f>
        <v>1200000</v>
      </c>
      <c r="AG53" s="441">
        <f t="shared" si="9"/>
        <v>22400000</v>
      </c>
      <c r="AH53" s="430" t="e">
        <f>+AE$26*AG53+AF53</f>
        <v>#REF!</v>
      </c>
      <c r="AI53" s="444">
        <f>+AI52</f>
        <v>16499999.999999994</v>
      </c>
      <c r="AJ53" s="441">
        <f>+AJ52</f>
        <v>666666.66666666663</v>
      </c>
      <c r="AK53" s="441">
        <f t="shared" si="10"/>
        <v>15833333.333333328</v>
      </c>
      <c r="AL53" s="430" t="e">
        <f>+AI$26*AK53+AJ53</f>
        <v>#REF!</v>
      </c>
      <c r="AM53" s="460" t="e">
        <f t="shared" si="1"/>
        <v>#REF!</v>
      </c>
      <c r="AN53" s="443" t="e">
        <f>+AM53</f>
        <v>#REF!</v>
      </c>
      <c r="AO53" s="377"/>
    </row>
    <row r="54" spans="1:41">
      <c r="A54" s="379" t="s">
        <v>502</v>
      </c>
      <c r="B54" s="440">
        <f t="shared" si="4"/>
        <v>2016</v>
      </c>
      <c r="C54" s="441">
        <f>+E53</f>
        <v>13000000</v>
      </c>
      <c r="D54" s="441">
        <f>+C$28</f>
        <v>666666.66666666663</v>
      </c>
      <c r="E54" s="441">
        <f t="shared" si="0"/>
        <v>12333333.333333334</v>
      </c>
      <c r="F54" s="430" t="e">
        <f>+C$25*E54+D54</f>
        <v>#REF!</v>
      </c>
      <c r="G54" s="441">
        <f>+I53</f>
        <v>21642857.142857134</v>
      </c>
      <c r="H54" s="441">
        <f>+G$28</f>
        <v>857142.85714285716</v>
      </c>
      <c r="I54" s="441">
        <f t="shared" si="2"/>
        <v>20785714.285714276</v>
      </c>
      <c r="J54" s="430" t="e">
        <f>+G$25*I54+H54</f>
        <v>#REF!</v>
      </c>
      <c r="K54" s="444">
        <f>+M53</f>
        <v>15375000</v>
      </c>
      <c r="L54" s="441">
        <f>+K$28</f>
        <v>500000</v>
      </c>
      <c r="M54" s="441">
        <f t="shared" si="3"/>
        <v>14875000</v>
      </c>
      <c r="N54" s="430" t="e">
        <f>+K$25*M54+L54</f>
        <v>#REF!</v>
      </c>
      <c r="O54" s="444">
        <f>+Q53</f>
        <v>23875000</v>
      </c>
      <c r="P54" s="441">
        <f>+O$28</f>
        <v>750000</v>
      </c>
      <c r="Q54" s="441">
        <f t="shared" si="5"/>
        <v>23125000</v>
      </c>
      <c r="R54" s="430" t="e">
        <f>+O$25*Q54+P54</f>
        <v>#REF!</v>
      </c>
      <c r="S54" s="444">
        <f>+U53</f>
        <v>15583333.333333332</v>
      </c>
      <c r="T54" s="441">
        <f>+S$28</f>
        <v>500000</v>
      </c>
      <c r="U54" s="441">
        <f t="shared" si="6"/>
        <v>15083333.333333332</v>
      </c>
      <c r="V54" s="430" t="e">
        <f>+S$25*U54+T54</f>
        <v>#REF!</v>
      </c>
      <c r="W54" s="444">
        <f>+Y53</f>
        <v>24250000</v>
      </c>
      <c r="X54" s="441">
        <f>+W$28</f>
        <v>750000</v>
      </c>
      <c r="Y54" s="441">
        <f t="shared" si="7"/>
        <v>23500000</v>
      </c>
      <c r="Z54" s="430" t="e">
        <f>+W$25*Y54+X54</f>
        <v>#REF!</v>
      </c>
      <c r="AA54" s="444">
        <f>+AC53</f>
        <v>15952380.952380955</v>
      </c>
      <c r="AB54" s="441">
        <f>+AA$28</f>
        <v>571428.57142857148</v>
      </c>
      <c r="AC54" s="441">
        <f t="shared" si="8"/>
        <v>15380952.380952384</v>
      </c>
      <c r="AD54" s="430" t="e">
        <f>+AA$25*AC54+AB54</f>
        <v>#REF!</v>
      </c>
      <c r="AE54" s="444">
        <f>+AG53</f>
        <v>22400000</v>
      </c>
      <c r="AF54" s="441">
        <f>+AE$28</f>
        <v>1200000</v>
      </c>
      <c r="AG54" s="441">
        <f t="shared" si="9"/>
        <v>21200000</v>
      </c>
      <c r="AH54" s="430" t="e">
        <f>+AE$25*AG54+AF54</f>
        <v>#REF!</v>
      </c>
      <c r="AI54" s="444">
        <f>+AK53</f>
        <v>15833333.333333328</v>
      </c>
      <c r="AJ54" s="441">
        <f>+AI$28</f>
        <v>666666.66666666663</v>
      </c>
      <c r="AK54" s="441">
        <f t="shared" si="10"/>
        <v>15166666.666666662</v>
      </c>
      <c r="AL54" s="430" t="e">
        <f>+AI$25*AK54+AJ54</f>
        <v>#REF!</v>
      </c>
      <c r="AM54" s="460" t="e">
        <f t="shared" si="1"/>
        <v>#REF!</v>
      </c>
      <c r="AN54" s="185"/>
      <c r="AO54" s="442" t="e">
        <f>+AM54</f>
        <v>#REF!</v>
      </c>
    </row>
    <row r="55" spans="1:41">
      <c r="A55" s="379" t="s">
        <v>467</v>
      </c>
      <c r="B55" s="440">
        <f t="shared" si="4"/>
        <v>2016</v>
      </c>
      <c r="C55" s="441">
        <f>+C54</f>
        <v>13000000</v>
      </c>
      <c r="D55" s="441">
        <f>+D54</f>
        <v>666666.66666666663</v>
      </c>
      <c r="E55" s="441">
        <f t="shared" si="0"/>
        <v>12333333.333333334</v>
      </c>
      <c r="F55" s="430" t="e">
        <f>+C$26*E55+D55</f>
        <v>#REF!</v>
      </c>
      <c r="G55" s="441">
        <f>+G54</f>
        <v>21642857.142857134</v>
      </c>
      <c r="H55" s="441">
        <f>+H54</f>
        <v>857142.85714285716</v>
      </c>
      <c r="I55" s="441">
        <f t="shared" si="2"/>
        <v>20785714.285714276</v>
      </c>
      <c r="J55" s="430" t="e">
        <f>+G$26*I55+H55</f>
        <v>#REF!</v>
      </c>
      <c r="K55" s="444">
        <f>+K54</f>
        <v>15375000</v>
      </c>
      <c r="L55" s="441">
        <f>+L54</f>
        <v>500000</v>
      </c>
      <c r="M55" s="441">
        <f t="shared" si="3"/>
        <v>14875000</v>
      </c>
      <c r="N55" s="430" t="e">
        <f>+K$26*M55+L55</f>
        <v>#REF!</v>
      </c>
      <c r="O55" s="444">
        <f>+O54</f>
        <v>23875000</v>
      </c>
      <c r="P55" s="441">
        <f>+P54</f>
        <v>750000</v>
      </c>
      <c r="Q55" s="441">
        <f t="shared" si="5"/>
        <v>23125000</v>
      </c>
      <c r="R55" s="430" t="e">
        <f>+O$26*Q55+P55</f>
        <v>#REF!</v>
      </c>
      <c r="S55" s="444">
        <f>+S54</f>
        <v>15583333.333333332</v>
      </c>
      <c r="T55" s="441">
        <f>+T54</f>
        <v>500000</v>
      </c>
      <c r="U55" s="441">
        <f t="shared" si="6"/>
        <v>15083333.333333332</v>
      </c>
      <c r="V55" s="430" t="e">
        <f>+S$26*U55+T55</f>
        <v>#REF!</v>
      </c>
      <c r="W55" s="444">
        <f>+W54</f>
        <v>24250000</v>
      </c>
      <c r="X55" s="441">
        <f>+X54</f>
        <v>750000</v>
      </c>
      <c r="Y55" s="441">
        <f t="shared" si="7"/>
        <v>23500000</v>
      </c>
      <c r="Z55" s="430" t="e">
        <f>+W$26*Y55+X55</f>
        <v>#REF!</v>
      </c>
      <c r="AA55" s="444">
        <f>+AA54</f>
        <v>15952380.952380955</v>
      </c>
      <c r="AB55" s="441">
        <f>+AB54</f>
        <v>571428.57142857148</v>
      </c>
      <c r="AC55" s="441">
        <f t="shared" si="8"/>
        <v>15380952.380952384</v>
      </c>
      <c r="AD55" s="430" t="e">
        <f>+AA$26*AC55+AB55</f>
        <v>#REF!</v>
      </c>
      <c r="AE55" s="444">
        <f>+AE54</f>
        <v>22400000</v>
      </c>
      <c r="AF55" s="441">
        <f>+AF54</f>
        <v>1200000</v>
      </c>
      <c r="AG55" s="441">
        <f t="shared" si="9"/>
        <v>21200000</v>
      </c>
      <c r="AH55" s="430" t="e">
        <f>+AE$26*AG55+AF55</f>
        <v>#REF!</v>
      </c>
      <c r="AI55" s="444">
        <f>+AI54</f>
        <v>15833333.333333328</v>
      </c>
      <c r="AJ55" s="441">
        <f>+AJ54</f>
        <v>666666.66666666663</v>
      </c>
      <c r="AK55" s="441">
        <f t="shared" si="10"/>
        <v>15166666.666666662</v>
      </c>
      <c r="AL55" s="430" t="e">
        <f>+AI$26*AK55+AJ55</f>
        <v>#REF!</v>
      </c>
      <c r="AM55" s="460" t="e">
        <f t="shared" si="1"/>
        <v>#REF!</v>
      </c>
      <c r="AN55" s="443" t="e">
        <f>+AM55</f>
        <v>#REF!</v>
      </c>
      <c r="AO55" s="377"/>
    </row>
    <row r="56" spans="1:41">
      <c r="A56" s="379" t="s">
        <v>502</v>
      </c>
      <c r="B56" s="440">
        <f t="shared" si="4"/>
        <v>2017</v>
      </c>
      <c r="C56" s="441">
        <f>+E55</f>
        <v>12333333.333333334</v>
      </c>
      <c r="D56" s="441">
        <f>+C$28</f>
        <v>666666.66666666663</v>
      </c>
      <c r="E56" s="441">
        <f t="shared" si="0"/>
        <v>11666666.666666668</v>
      </c>
      <c r="F56" s="430" t="e">
        <f>+C$25*E56+D56</f>
        <v>#REF!</v>
      </c>
      <c r="G56" s="441">
        <f>+I55</f>
        <v>20785714.285714276</v>
      </c>
      <c r="H56" s="441">
        <f>+G$28</f>
        <v>857142.85714285716</v>
      </c>
      <c r="I56" s="441">
        <f t="shared" si="2"/>
        <v>19928571.428571418</v>
      </c>
      <c r="J56" s="430" t="e">
        <f>+G$25*I56+H56</f>
        <v>#REF!</v>
      </c>
      <c r="K56" s="444">
        <f>+M55</f>
        <v>14875000</v>
      </c>
      <c r="L56" s="441">
        <f>+K$28</f>
        <v>500000</v>
      </c>
      <c r="M56" s="441">
        <f t="shared" si="3"/>
        <v>14375000</v>
      </c>
      <c r="N56" s="430" t="e">
        <f>+K$25*M56+L56</f>
        <v>#REF!</v>
      </c>
      <c r="O56" s="444">
        <f>+Q55</f>
        <v>23125000</v>
      </c>
      <c r="P56" s="441">
        <f>+O$28</f>
        <v>750000</v>
      </c>
      <c r="Q56" s="441">
        <f t="shared" si="5"/>
        <v>22375000</v>
      </c>
      <c r="R56" s="430" t="e">
        <f>+O$25*Q56+P56</f>
        <v>#REF!</v>
      </c>
      <c r="S56" s="444">
        <f>+U55</f>
        <v>15083333.333333332</v>
      </c>
      <c r="T56" s="441">
        <f>+S$28</f>
        <v>500000</v>
      </c>
      <c r="U56" s="441">
        <f t="shared" si="6"/>
        <v>14583333.333333332</v>
      </c>
      <c r="V56" s="430" t="e">
        <f>+S$25*U56+T56</f>
        <v>#REF!</v>
      </c>
      <c r="W56" s="444">
        <f>+Y55</f>
        <v>23500000</v>
      </c>
      <c r="X56" s="441">
        <f>+W$28</f>
        <v>750000</v>
      </c>
      <c r="Y56" s="441">
        <f t="shared" si="7"/>
        <v>22750000</v>
      </c>
      <c r="Z56" s="430" t="e">
        <f>+W$25*Y56+X56</f>
        <v>#REF!</v>
      </c>
      <c r="AA56" s="444">
        <f>+AC55</f>
        <v>15380952.380952384</v>
      </c>
      <c r="AB56" s="441">
        <f>+AA$28</f>
        <v>571428.57142857148</v>
      </c>
      <c r="AC56" s="441">
        <f t="shared" si="8"/>
        <v>14809523.809523813</v>
      </c>
      <c r="AD56" s="430" t="e">
        <f>+AA$25*AC56+AB56</f>
        <v>#REF!</v>
      </c>
      <c r="AE56" s="444">
        <f>+AG55</f>
        <v>21200000</v>
      </c>
      <c r="AF56" s="441">
        <f>+AE$28</f>
        <v>1200000</v>
      </c>
      <c r="AG56" s="441">
        <f t="shared" si="9"/>
        <v>20000000</v>
      </c>
      <c r="AH56" s="430" t="e">
        <f>+AE$25*AG56+AF56</f>
        <v>#REF!</v>
      </c>
      <c r="AI56" s="444">
        <f>+AK55</f>
        <v>15166666.666666662</v>
      </c>
      <c r="AJ56" s="441">
        <f>+AI$28</f>
        <v>666666.66666666663</v>
      </c>
      <c r="AK56" s="441">
        <f t="shared" si="10"/>
        <v>14499999.999999996</v>
      </c>
      <c r="AL56" s="430" t="e">
        <f>+AI$25*AK56+AJ56</f>
        <v>#REF!</v>
      </c>
      <c r="AM56" s="460" t="e">
        <f t="shared" si="1"/>
        <v>#REF!</v>
      </c>
      <c r="AN56" s="185"/>
      <c r="AO56" s="442" t="e">
        <f>+AM56</f>
        <v>#REF!</v>
      </c>
    </row>
    <row r="57" spans="1:41">
      <c r="A57" s="379" t="s">
        <v>467</v>
      </c>
      <c r="B57" s="440">
        <f t="shared" si="4"/>
        <v>2017</v>
      </c>
      <c r="C57" s="441">
        <f>+C56</f>
        <v>12333333.333333334</v>
      </c>
      <c r="D57" s="441">
        <f>+D56</f>
        <v>666666.66666666663</v>
      </c>
      <c r="E57" s="441">
        <f t="shared" si="0"/>
        <v>11666666.666666668</v>
      </c>
      <c r="F57" s="430" t="e">
        <f>+C$26*E57+D57</f>
        <v>#REF!</v>
      </c>
      <c r="G57" s="441">
        <f>+G56</f>
        <v>20785714.285714276</v>
      </c>
      <c r="H57" s="441">
        <f>+H56</f>
        <v>857142.85714285716</v>
      </c>
      <c r="I57" s="441">
        <f t="shared" si="2"/>
        <v>19928571.428571418</v>
      </c>
      <c r="J57" s="430" t="e">
        <f>+G$26*I57+H57</f>
        <v>#REF!</v>
      </c>
      <c r="K57" s="444">
        <f>+K56</f>
        <v>14875000</v>
      </c>
      <c r="L57" s="441">
        <f>+L56</f>
        <v>500000</v>
      </c>
      <c r="M57" s="441">
        <f t="shared" si="3"/>
        <v>14375000</v>
      </c>
      <c r="N57" s="430" t="e">
        <f>+K$26*M57+L57</f>
        <v>#REF!</v>
      </c>
      <c r="O57" s="444">
        <f>+O56</f>
        <v>23125000</v>
      </c>
      <c r="P57" s="441">
        <f>+P56</f>
        <v>750000</v>
      </c>
      <c r="Q57" s="441">
        <f t="shared" si="5"/>
        <v>22375000</v>
      </c>
      <c r="R57" s="430" t="e">
        <f>+O$26*Q57+P57</f>
        <v>#REF!</v>
      </c>
      <c r="S57" s="444">
        <f>+S56</f>
        <v>15083333.333333332</v>
      </c>
      <c r="T57" s="441">
        <f>+T56</f>
        <v>500000</v>
      </c>
      <c r="U57" s="441">
        <f t="shared" si="6"/>
        <v>14583333.333333332</v>
      </c>
      <c r="V57" s="430" t="e">
        <f>+S$26*U57+T57</f>
        <v>#REF!</v>
      </c>
      <c r="W57" s="444">
        <f>+W56</f>
        <v>23500000</v>
      </c>
      <c r="X57" s="441">
        <f>+X56</f>
        <v>750000</v>
      </c>
      <c r="Y57" s="441">
        <f t="shared" si="7"/>
        <v>22750000</v>
      </c>
      <c r="Z57" s="430" t="e">
        <f>+W$26*Y57+X57</f>
        <v>#REF!</v>
      </c>
      <c r="AA57" s="444">
        <f>+AA56</f>
        <v>15380952.380952384</v>
      </c>
      <c r="AB57" s="441">
        <f>+AB56</f>
        <v>571428.57142857148</v>
      </c>
      <c r="AC57" s="441">
        <f t="shared" si="8"/>
        <v>14809523.809523813</v>
      </c>
      <c r="AD57" s="430" t="e">
        <f>+AA$26*AC57+AB57</f>
        <v>#REF!</v>
      </c>
      <c r="AE57" s="444">
        <f>+AE56</f>
        <v>21200000</v>
      </c>
      <c r="AF57" s="441">
        <f>+AF56</f>
        <v>1200000</v>
      </c>
      <c r="AG57" s="441">
        <f t="shared" si="9"/>
        <v>20000000</v>
      </c>
      <c r="AH57" s="430" t="e">
        <f>+AE$26*AG57+AF57</f>
        <v>#REF!</v>
      </c>
      <c r="AI57" s="444">
        <f>+AI56</f>
        <v>15166666.666666662</v>
      </c>
      <c r="AJ57" s="441">
        <f>+AJ56</f>
        <v>666666.66666666663</v>
      </c>
      <c r="AK57" s="441">
        <f t="shared" si="10"/>
        <v>14499999.999999996</v>
      </c>
      <c r="AL57" s="430" t="e">
        <f>+AI$26*AK57+AJ57</f>
        <v>#REF!</v>
      </c>
      <c r="AM57" s="460" t="e">
        <f t="shared" si="1"/>
        <v>#REF!</v>
      </c>
      <c r="AN57" s="443" t="e">
        <f>+AM57</f>
        <v>#REF!</v>
      </c>
      <c r="AO57" s="377"/>
    </row>
    <row r="58" spans="1:41">
      <c r="A58" s="379" t="s">
        <v>502</v>
      </c>
      <c r="B58" s="440">
        <f t="shared" si="4"/>
        <v>2018</v>
      </c>
      <c r="C58" s="441">
        <f>+E57</f>
        <v>11666666.666666668</v>
      </c>
      <c r="D58" s="441">
        <f>+C$28</f>
        <v>666666.66666666663</v>
      </c>
      <c r="E58" s="441">
        <f t="shared" si="0"/>
        <v>11000000.000000002</v>
      </c>
      <c r="F58" s="430" t="e">
        <f>+C$25*E58+D58</f>
        <v>#REF!</v>
      </c>
      <c r="G58" s="441">
        <f>+I57</f>
        <v>19928571.428571418</v>
      </c>
      <c r="H58" s="441">
        <f>+G$28</f>
        <v>857142.85714285716</v>
      </c>
      <c r="I58" s="441">
        <f t="shared" si="2"/>
        <v>19071428.57142856</v>
      </c>
      <c r="J58" s="430" t="e">
        <f>+G$25*I58+H58</f>
        <v>#REF!</v>
      </c>
      <c r="K58" s="444">
        <f>+M57</f>
        <v>14375000</v>
      </c>
      <c r="L58" s="441">
        <f>+K$28</f>
        <v>500000</v>
      </c>
      <c r="M58" s="441">
        <f t="shared" si="3"/>
        <v>13875000</v>
      </c>
      <c r="N58" s="430" t="e">
        <f>+K$25*M58+L58</f>
        <v>#REF!</v>
      </c>
      <c r="O58" s="444">
        <f>+Q57</f>
        <v>22375000</v>
      </c>
      <c r="P58" s="441">
        <f>+O$28</f>
        <v>750000</v>
      </c>
      <c r="Q58" s="441">
        <f t="shared" si="5"/>
        <v>21625000</v>
      </c>
      <c r="R58" s="430" t="e">
        <f>+O$25*Q58+P58</f>
        <v>#REF!</v>
      </c>
      <c r="S58" s="444">
        <f>+U57</f>
        <v>14583333.333333332</v>
      </c>
      <c r="T58" s="441">
        <f>+S$28</f>
        <v>500000</v>
      </c>
      <c r="U58" s="441">
        <f t="shared" si="6"/>
        <v>14083333.333333332</v>
      </c>
      <c r="V58" s="430" t="e">
        <f>+S$25*U58+T58</f>
        <v>#REF!</v>
      </c>
      <c r="W58" s="444">
        <f>+Y57</f>
        <v>22750000</v>
      </c>
      <c r="X58" s="441">
        <f>+W$28</f>
        <v>750000</v>
      </c>
      <c r="Y58" s="441">
        <f t="shared" si="7"/>
        <v>22000000</v>
      </c>
      <c r="Z58" s="430" t="e">
        <f>+W$25*Y58+X58</f>
        <v>#REF!</v>
      </c>
      <c r="AA58" s="444">
        <f>+AC57</f>
        <v>14809523.809523813</v>
      </c>
      <c r="AB58" s="441">
        <f>+AA$28</f>
        <v>571428.57142857148</v>
      </c>
      <c r="AC58" s="441">
        <f t="shared" si="8"/>
        <v>14238095.238095243</v>
      </c>
      <c r="AD58" s="430" t="e">
        <f>+AA$25*AC58+AB58</f>
        <v>#REF!</v>
      </c>
      <c r="AE58" s="444">
        <f>+AG57</f>
        <v>20000000</v>
      </c>
      <c r="AF58" s="441">
        <f>+AE$28</f>
        <v>1200000</v>
      </c>
      <c r="AG58" s="441">
        <f t="shared" si="9"/>
        <v>18800000</v>
      </c>
      <c r="AH58" s="430" t="e">
        <f>+AE$25*AG58+AF58</f>
        <v>#REF!</v>
      </c>
      <c r="AI58" s="444">
        <f>+AK57</f>
        <v>14499999.999999996</v>
      </c>
      <c r="AJ58" s="441">
        <f>+AI$28</f>
        <v>666666.66666666663</v>
      </c>
      <c r="AK58" s="441">
        <f t="shared" si="10"/>
        <v>13833333.33333333</v>
      </c>
      <c r="AL58" s="430" t="e">
        <f>+AI$25*AK58+AJ58</f>
        <v>#REF!</v>
      </c>
      <c r="AM58" s="460" t="e">
        <f t="shared" si="1"/>
        <v>#REF!</v>
      </c>
      <c r="AN58" s="185"/>
      <c r="AO58" s="442" t="e">
        <f>+AM58</f>
        <v>#REF!</v>
      </c>
    </row>
    <row r="59" spans="1:41">
      <c r="A59" s="379" t="s">
        <v>467</v>
      </c>
      <c r="B59" s="440">
        <f t="shared" si="4"/>
        <v>2018</v>
      </c>
      <c r="C59" s="441">
        <f>+C58</f>
        <v>11666666.666666668</v>
      </c>
      <c r="D59" s="441">
        <f>+D58</f>
        <v>666666.66666666663</v>
      </c>
      <c r="E59" s="441">
        <f t="shared" si="0"/>
        <v>11000000.000000002</v>
      </c>
      <c r="F59" s="430" t="e">
        <f>+C$26*E59+D59</f>
        <v>#REF!</v>
      </c>
      <c r="G59" s="441">
        <f>+G58</f>
        <v>19928571.428571418</v>
      </c>
      <c r="H59" s="441">
        <f>+H58</f>
        <v>857142.85714285716</v>
      </c>
      <c r="I59" s="441">
        <f t="shared" si="2"/>
        <v>19071428.57142856</v>
      </c>
      <c r="J59" s="430" t="e">
        <f>+G$26*I59+H59</f>
        <v>#REF!</v>
      </c>
      <c r="K59" s="444">
        <f>+K58</f>
        <v>14375000</v>
      </c>
      <c r="L59" s="441">
        <f>+L58</f>
        <v>500000</v>
      </c>
      <c r="M59" s="441">
        <f t="shared" si="3"/>
        <v>13875000</v>
      </c>
      <c r="N59" s="430" t="e">
        <f>+K$26*M59+L59</f>
        <v>#REF!</v>
      </c>
      <c r="O59" s="444">
        <f>+O58</f>
        <v>22375000</v>
      </c>
      <c r="P59" s="441">
        <f>+P58</f>
        <v>750000</v>
      </c>
      <c r="Q59" s="441">
        <f t="shared" si="5"/>
        <v>21625000</v>
      </c>
      <c r="R59" s="430" t="e">
        <f>+O$26*Q59+P59</f>
        <v>#REF!</v>
      </c>
      <c r="S59" s="444">
        <f>+S58</f>
        <v>14583333.333333332</v>
      </c>
      <c r="T59" s="441">
        <f>+T58</f>
        <v>500000</v>
      </c>
      <c r="U59" s="441">
        <f t="shared" si="6"/>
        <v>14083333.333333332</v>
      </c>
      <c r="V59" s="430" t="e">
        <f>+S$26*U59+T59</f>
        <v>#REF!</v>
      </c>
      <c r="W59" s="444">
        <f>+W58</f>
        <v>22750000</v>
      </c>
      <c r="X59" s="441">
        <f>+X58</f>
        <v>750000</v>
      </c>
      <c r="Y59" s="441">
        <f t="shared" si="7"/>
        <v>22000000</v>
      </c>
      <c r="Z59" s="430" t="e">
        <f>+W$26*Y59+X59</f>
        <v>#REF!</v>
      </c>
      <c r="AA59" s="444">
        <f>+AA58</f>
        <v>14809523.809523813</v>
      </c>
      <c r="AB59" s="441">
        <f>+AB58</f>
        <v>571428.57142857148</v>
      </c>
      <c r="AC59" s="441">
        <f t="shared" si="8"/>
        <v>14238095.238095243</v>
      </c>
      <c r="AD59" s="430" t="e">
        <f>+AA$26*AC59+AB59</f>
        <v>#REF!</v>
      </c>
      <c r="AE59" s="444">
        <f>+AE58</f>
        <v>20000000</v>
      </c>
      <c r="AF59" s="441">
        <f>+AF58</f>
        <v>1200000</v>
      </c>
      <c r="AG59" s="441">
        <f t="shared" si="9"/>
        <v>18800000</v>
      </c>
      <c r="AH59" s="430" t="e">
        <f>+AE$26*AG59+AF59</f>
        <v>#REF!</v>
      </c>
      <c r="AI59" s="444">
        <f>+AI58</f>
        <v>14499999.999999996</v>
      </c>
      <c r="AJ59" s="441">
        <f>+AJ58</f>
        <v>666666.66666666663</v>
      </c>
      <c r="AK59" s="441">
        <f t="shared" si="10"/>
        <v>13833333.33333333</v>
      </c>
      <c r="AL59" s="430" t="e">
        <f>+AI$26*AK59+AJ59</f>
        <v>#REF!</v>
      </c>
      <c r="AM59" s="460" t="e">
        <f t="shared" si="1"/>
        <v>#REF!</v>
      </c>
      <c r="AN59" s="443" t="e">
        <f>+AM59</f>
        <v>#REF!</v>
      </c>
      <c r="AO59" s="377"/>
    </row>
    <row r="60" spans="1:41">
      <c r="A60" s="379" t="s">
        <v>502</v>
      </c>
      <c r="B60" s="440">
        <f t="shared" si="4"/>
        <v>2019</v>
      </c>
      <c r="C60" s="441">
        <f>+E59</f>
        <v>11000000.000000002</v>
      </c>
      <c r="D60" s="441">
        <f>+C$28</f>
        <v>666666.66666666663</v>
      </c>
      <c r="E60" s="441">
        <f t="shared" si="0"/>
        <v>10333333.333333336</v>
      </c>
      <c r="F60" s="430" t="e">
        <f>+C$25*E60+D60</f>
        <v>#REF!</v>
      </c>
      <c r="G60" s="441">
        <f>+I59</f>
        <v>19071428.57142856</v>
      </c>
      <c r="H60" s="441">
        <f>+G$28</f>
        <v>857142.85714285716</v>
      </c>
      <c r="I60" s="441">
        <f t="shared" si="2"/>
        <v>18214285.714285702</v>
      </c>
      <c r="J60" s="430" t="e">
        <f>+G$25*I60+H60</f>
        <v>#REF!</v>
      </c>
      <c r="K60" s="444">
        <f>+M59</f>
        <v>13875000</v>
      </c>
      <c r="L60" s="441">
        <f>+K$28</f>
        <v>500000</v>
      </c>
      <c r="M60" s="441">
        <f t="shared" si="3"/>
        <v>13375000</v>
      </c>
      <c r="N60" s="430" t="e">
        <f>+K$25*M60+L60</f>
        <v>#REF!</v>
      </c>
      <c r="O60" s="444">
        <f>+Q59</f>
        <v>21625000</v>
      </c>
      <c r="P60" s="441">
        <f>+O$28</f>
        <v>750000</v>
      </c>
      <c r="Q60" s="441">
        <f t="shared" si="5"/>
        <v>20875000</v>
      </c>
      <c r="R60" s="430" t="e">
        <f>+O$25*Q60+P60</f>
        <v>#REF!</v>
      </c>
      <c r="S60" s="444">
        <f>+U59</f>
        <v>14083333.333333332</v>
      </c>
      <c r="T60" s="441">
        <f>+S$28</f>
        <v>500000</v>
      </c>
      <c r="U60" s="441">
        <f t="shared" si="6"/>
        <v>13583333.333333332</v>
      </c>
      <c r="V60" s="430" t="e">
        <f>+S$25*U60+T60</f>
        <v>#REF!</v>
      </c>
      <c r="W60" s="444">
        <f>+Y59</f>
        <v>22000000</v>
      </c>
      <c r="X60" s="441">
        <f>+W$28</f>
        <v>750000</v>
      </c>
      <c r="Y60" s="441">
        <f t="shared" si="7"/>
        <v>21250000</v>
      </c>
      <c r="Z60" s="430" t="e">
        <f>+W$25*Y60+X60</f>
        <v>#REF!</v>
      </c>
      <c r="AA60" s="444">
        <f>+AC59</f>
        <v>14238095.238095243</v>
      </c>
      <c r="AB60" s="441">
        <f>+AA$28</f>
        <v>571428.57142857148</v>
      </c>
      <c r="AC60" s="441">
        <f t="shared" si="8"/>
        <v>13666666.666666672</v>
      </c>
      <c r="AD60" s="430" t="e">
        <f>+AA$25*AC60+AB60</f>
        <v>#REF!</v>
      </c>
      <c r="AE60" s="444">
        <f>+AG59</f>
        <v>18800000</v>
      </c>
      <c r="AF60" s="441">
        <f>+AE$28</f>
        <v>1200000</v>
      </c>
      <c r="AG60" s="441">
        <f t="shared" si="9"/>
        <v>17600000</v>
      </c>
      <c r="AH60" s="430" t="e">
        <f>+AE$25*AG60+AF60</f>
        <v>#REF!</v>
      </c>
      <c r="AI60" s="444">
        <f>+AK59</f>
        <v>13833333.33333333</v>
      </c>
      <c r="AJ60" s="441">
        <f>+AI$28</f>
        <v>666666.66666666663</v>
      </c>
      <c r="AK60" s="441">
        <f t="shared" si="10"/>
        <v>13166666.666666664</v>
      </c>
      <c r="AL60" s="430" t="e">
        <f>+AI$25*AK60+AJ60</f>
        <v>#REF!</v>
      </c>
      <c r="AM60" s="460" t="e">
        <f t="shared" si="1"/>
        <v>#REF!</v>
      </c>
      <c r="AN60" s="185"/>
      <c r="AO60" s="442" t="e">
        <f>+AM60</f>
        <v>#REF!</v>
      </c>
    </row>
    <row r="61" spans="1:41">
      <c r="A61" s="379" t="s">
        <v>467</v>
      </c>
      <c r="B61" s="440">
        <f t="shared" si="4"/>
        <v>2019</v>
      </c>
      <c r="C61" s="441">
        <f>+C60</f>
        <v>11000000.000000002</v>
      </c>
      <c r="D61" s="441">
        <f>+D60</f>
        <v>666666.66666666663</v>
      </c>
      <c r="E61" s="441">
        <f t="shared" si="0"/>
        <v>10333333.333333336</v>
      </c>
      <c r="F61" s="430" t="e">
        <f>+C$26*E61+D61</f>
        <v>#REF!</v>
      </c>
      <c r="G61" s="441">
        <f>+G60</f>
        <v>19071428.57142856</v>
      </c>
      <c r="H61" s="441">
        <f>+H60</f>
        <v>857142.85714285716</v>
      </c>
      <c r="I61" s="441">
        <f t="shared" si="2"/>
        <v>18214285.714285702</v>
      </c>
      <c r="J61" s="430" t="e">
        <f>+G$26*I61+H61</f>
        <v>#REF!</v>
      </c>
      <c r="K61" s="444">
        <f>+K60</f>
        <v>13875000</v>
      </c>
      <c r="L61" s="441">
        <f>+L60</f>
        <v>500000</v>
      </c>
      <c r="M61" s="441">
        <f t="shared" si="3"/>
        <v>13375000</v>
      </c>
      <c r="N61" s="430" t="e">
        <f>+K$26*M61+L61</f>
        <v>#REF!</v>
      </c>
      <c r="O61" s="444">
        <f>+O60</f>
        <v>21625000</v>
      </c>
      <c r="P61" s="441">
        <f>+P60</f>
        <v>750000</v>
      </c>
      <c r="Q61" s="441">
        <f t="shared" si="5"/>
        <v>20875000</v>
      </c>
      <c r="R61" s="430" t="e">
        <f>+O$26*Q61+P61</f>
        <v>#REF!</v>
      </c>
      <c r="S61" s="444">
        <f>+S60</f>
        <v>14083333.333333332</v>
      </c>
      <c r="T61" s="441">
        <f>+T60</f>
        <v>500000</v>
      </c>
      <c r="U61" s="441">
        <f t="shared" si="6"/>
        <v>13583333.333333332</v>
      </c>
      <c r="V61" s="430" t="e">
        <f>+S$26*U61+T61</f>
        <v>#REF!</v>
      </c>
      <c r="W61" s="444">
        <f>+W60</f>
        <v>22000000</v>
      </c>
      <c r="X61" s="441">
        <f>+X60</f>
        <v>750000</v>
      </c>
      <c r="Y61" s="441">
        <f t="shared" si="7"/>
        <v>21250000</v>
      </c>
      <c r="Z61" s="430" t="e">
        <f>+W$26*Y61+X61</f>
        <v>#REF!</v>
      </c>
      <c r="AA61" s="444">
        <f>+AA60</f>
        <v>14238095.238095243</v>
      </c>
      <c r="AB61" s="441">
        <f>+AB60</f>
        <v>571428.57142857148</v>
      </c>
      <c r="AC61" s="441">
        <f t="shared" si="8"/>
        <v>13666666.666666672</v>
      </c>
      <c r="AD61" s="430" t="e">
        <f>+AA$26*AC61+AB61</f>
        <v>#REF!</v>
      </c>
      <c r="AE61" s="444">
        <f>+AE60</f>
        <v>18800000</v>
      </c>
      <c r="AF61" s="441">
        <f>+AF60</f>
        <v>1200000</v>
      </c>
      <c r="AG61" s="441">
        <f t="shared" si="9"/>
        <v>17600000</v>
      </c>
      <c r="AH61" s="430" t="e">
        <f>+AE$26*AG61+AF61</f>
        <v>#REF!</v>
      </c>
      <c r="AI61" s="444">
        <f>+AI60</f>
        <v>13833333.33333333</v>
      </c>
      <c r="AJ61" s="441">
        <f>+AJ60</f>
        <v>666666.66666666663</v>
      </c>
      <c r="AK61" s="441">
        <f t="shared" si="10"/>
        <v>13166666.666666664</v>
      </c>
      <c r="AL61" s="430" t="e">
        <f>+AI$26*AK61+AJ61</f>
        <v>#REF!</v>
      </c>
      <c r="AM61" s="460" t="e">
        <f t="shared" si="1"/>
        <v>#REF!</v>
      </c>
      <c r="AN61" s="443" t="e">
        <f>+AM61</f>
        <v>#REF!</v>
      </c>
      <c r="AO61" s="377"/>
    </row>
    <row r="62" spans="1:41">
      <c r="A62" s="379" t="s">
        <v>502</v>
      </c>
      <c r="B62" s="440">
        <f t="shared" si="4"/>
        <v>2020</v>
      </c>
      <c r="C62" s="441">
        <f>+E61</f>
        <v>10333333.333333336</v>
      </c>
      <c r="D62" s="441">
        <f>+C$28</f>
        <v>666666.66666666663</v>
      </c>
      <c r="E62" s="441">
        <f t="shared" si="0"/>
        <v>9666666.6666666698</v>
      </c>
      <c r="F62" s="430" t="e">
        <f>+C$25*E62+D62</f>
        <v>#REF!</v>
      </c>
      <c r="G62" s="441">
        <f>+I61</f>
        <v>18214285.714285702</v>
      </c>
      <c r="H62" s="441">
        <f>+G$28</f>
        <v>857142.85714285716</v>
      </c>
      <c r="I62" s="441">
        <f t="shared" si="2"/>
        <v>17357142.857142843</v>
      </c>
      <c r="J62" s="430" t="e">
        <f>+G$25*I62+H62</f>
        <v>#REF!</v>
      </c>
      <c r="K62" s="444">
        <f>+M61</f>
        <v>13375000</v>
      </c>
      <c r="L62" s="441">
        <f>+K$28</f>
        <v>500000</v>
      </c>
      <c r="M62" s="441">
        <f t="shared" si="3"/>
        <v>12875000</v>
      </c>
      <c r="N62" s="430" t="e">
        <f>+K$25*M62+L62</f>
        <v>#REF!</v>
      </c>
      <c r="O62" s="444">
        <f>+Q61</f>
        <v>20875000</v>
      </c>
      <c r="P62" s="441">
        <f>+O$28</f>
        <v>750000</v>
      </c>
      <c r="Q62" s="441">
        <f t="shared" si="5"/>
        <v>20125000</v>
      </c>
      <c r="R62" s="430" t="e">
        <f>+O$25*Q62+P62</f>
        <v>#REF!</v>
      </c>
      <c r="S62" s="444">
        <f>+U61</f>
        <v>13583333.333333332</v>
      </c>
      <c r="T62" s="441">
        <f>+S$28</f>
        <v>500000</v>
      </c>
      <c r="U62" s="441">
        <f t="shared" si="6"/>
        <v>13083333.333333332</v>
      </c>
      <c r="V62" s="430" t="e">
        <f>+S$25*U62+T62</f>
        <v>#REF!</v>
      </c>
      <c r="W62" s="444">
        <f>+Y61</f>
        <v>21250000</v>
      </c>
      <c r="X62" s="441">
        <f>+W$28</f>
        <v>750000</v>
      </c>
      <c r="Y62" s="441">
        <f t="shared" si="7"/>
        <v>20500000</v>
      </c>
      <c r="Z62" s="430" t="e">
        <f>+W$25*Y62+X62</f>
        <v>#REF!</v>
      </c>
      <c r="AA62" s="444">
        <f>+AC61</f>
        <v>13666666.666666672</v>
      </c>
      <c r="AB62" s="441">
        <f>+AA$28</f>
        <v>571428.57142857148</v>
      </c>
      <c r="AC62" s="441">
        <f t="shared" si="8"/>
        <v>13095238.095238101</v>
      </c>
      <c r="AD62" s="430" t="e">
        <f>+AA$25*AC62+AB62</f>
        <v>#REF!</v>
      </c>
      <c r="AE62" s="444">
        <f>+AG61</f>
        <v>17600000</v>
      </c>
      <c r="AF62" s="441">
        <f>+AE$28</f>
        <v>1200000</v>
      </c>
      <c r="AG62" s="441">
        <f t="shared" si="9"/>
        <v>16400000</v>
      </c>
      <c r="AH62" s="430" t="e">
        <f>+AE$25*AG62+AF62</f>
        <v>#REF!</v>
      </c>
      <c r="AI62" s="444">
        <f>+AK61</f>
        <v>13166666.666666664</v>
      </c>
      <c r="AJ62" s="441">
        <f>+AI$28</f>
        <v>666666.66666666663</v>
      </c>
      <c r="AK62" s="441">
        <f t="shared" si="10"/>
        <v>12499999.999999998</v>
      </c>
      <c r="AL62" s="430" t="e">
        <f>+AI$25*AK62+AJ62</f>
        <v>#REF!</v>
      </c>
      <c r="AM62" s="460" t="e">
        <f t="shared" si="1"/>
        <v>#REF!</v>
      </c>
      <c r="AN62" s="185"/>
      <c r="AO62" s="442" t="e">
        <f>+AM62</f>
        <v>#REF!</v>
      </c>
    </row>
    <row r="63" spans="1:41">
      <c r="A63" s="379" t="s">
        <v>467</v>
      </c>
      <c r="B63" s="440">
        <f t="shared" si="4"/>
        <v>2020</v>
      </c>
      <c r="C63" s="441">
        <f>+C62</f>
        <v>10333333.333333336</v>
      </c>
      <c r="D63" s="441">
        <f>+D62</f>
        <v>666666.66666666663</v>
      </c>
      <c r="E63" s="441">
        <f t="shared" si="0"/>
        <v>9666666.6666666698</v>
      </c>
      <c r="F63" s="430" t="e">
        <f>+C$26*E63+D63</f>
        <v>#REF!</v>
      </c>
      <c r="G63" s="441">
        <f>+G62</f>
        <v>18214285.714285702</v>
      </c>
      <c r="H63" s="441">
        <f>+H62</f>
        <v>857142.85714285716</v>
      </c>
      <c r="I63" s="441">
        <f t="shared" si="2"/>
        <v>17357142.857142843</v>
      </c>
      <c r="J63" s="430" t="e">
        <f>+G$26*I63+H63</f>
        <v>#REF!</v>
      </c>
      <c r="K63" s="444">
        <f>+K62</f>
        <v>13375000</v>
      </c>
      <c r="L63" s="441">
        <f>+L62</f>
        <v>500000</v>
      </c>
      <c r="M63" s="441">
        <f t="shared" si="3"/>
        <v>12875000</v>
      </c>
      <c r="N63" s="430" t="e">
        <f>+K$26*M63+L63</f>
        <v>#REF!</v>
      </c>
      <c r="O63" s="444">
        <f>+O62</f>
        <v>20875000</v>
      </c>
      <c r="P63" s="441">
        <f>+P62</f>
        <v>750000</v>
      </c>
      <c r="Q63" s="441">
        <f t="shared" si="5"/>
        <v>20125000</v>
      </c>
      <c r="R63" s="430" t="e">
        <f>+O$26*Q63+P63</f>
        <v>#REF!</v>
      </c>
      <c r="S63" s="444">
        <f>+S62</f>
        <v>13583333.333333332</v>
      </c>
      <c r="T63" s="441">
        <f>+T62</f>
        <v>500000</v>
      </c>
      <c r="U63" s="441">
        <f t="shared" si="6"/>
        <v>13083333.333333332</v>
      </c>
      <c r="V63" s="430" t="e">
        <f>+S$26*U63+T63</f>
        <v>#REF!</v>
      </c>
      <c r="W63" s="444">
        <f>+W62</f>
        <v>21250000</v>
      </c>
      <c r="X63" s="441">
        <f>+X62</f>
        <v>750000</v>
      </c>
      <c r="Y63" s="441">
        <f t="shared" si="7"/>
        <v>20500000</v>
      </c>
      <c r="Z63" s="430" t="e">
        <f>+W$26*Y63+X63</f>
        <v>#REF!</v>
      </c>
      <c r="AA63" s="444">
        <f>+AA62</f>
        <v>13666666.666666672</v>
      </c>
      <c r="AB63" s="441">
        <f>+AB62</f>
        <v>571428.57142857148</v>
      </c>
      <c r="AC63" s="441">
        <f t="shared" si="8"/>
        <v>13095238.095238101</v>
      </c>
      <c r="AD63" s="430" t="e">
        <f>+AA$26*AC63+AB63</f>
        <v>#REF!</v>
      </c>
      <c r="AE63" s="444">
        <f>+AE62</f>
        <v>17600000</v>
      </c>
      <c r="AF63" s="441">
        <f>+AF62</f>
        <v>1200000</v>
      </c>
      <c r="AG63" s="441">
        <f t="shared" si="9"/>
        <v>16400000</v>
      </c>
      <c r="AH63" s="430" t="e">
        <f>+AE$26*AG63+AF63</f>
        <v>#REF!</v>
      </c>
      <c r="AI63" s="444">
        <f>+AI62</f>
        <v>13166666.666666664</v>
      </c>
      <c r="AJ63" s="441">
        <f>+AJ62</f>
        <v>666666.66666666663</v>
      </c>
      <c r="AK63" s="441">
        <f t="shared" si="10"/>
        <v>12499999.999999998</v>
      </c>
      <c r="AL63" s="430" t="e">
        <f>+AI$26*AK63+AJ63</f>
        <v>#REF!</v>
      </c>
      <c r="AM63" s="460" t="e">
        <f t="shared" si="1"/>
        <v>#REF!</v>
      </c>
      <c r="AN63" s="443" t="e">
        <f>+AM63</f>
        <v>#REF!</v>
      </c>
      <c r="AO63" s="377"/>
    </row>
    <row r="64" spans="1:41">
      <c r="A64" s="379" t="s">
        <v>502</v>
      </c>
      <c r="B64" s="440">
        <f t="shared" si="4"/>
        <v>2021</v>
      </c>
      <c r="C64" s="441">
        <f>+E63</f>
        <v>9666666.6666666698</v>
      </c>
      <c r="D64" s="441">
        <f>+C$28</f>
        <v>666666.66666666663</v>
      </c>
      <c r="E64" s="441">
        <f t="shared" ref="E64:E71" si="11">+C64-D64</f>
        <v>9000000.0000000037</v>
      </c>
      <c r="F64" s="430" t="e">
        <f>+C$25*E64+D64</f>
        <v>#REF!</v>
      </c>
      <c r="G64" s="441">
        <f>+I63</f>
        <v>17357142.857142843</v>
      </c>
      <c r="H64" s="441">
        <f>+G$28</f>
        <v>857142.85714285716</v>
      </c>
      <c r="I64" s="441">
        <f t="shared" si="2"/>
        <v>16499999.999999987</v>
      </c>
      <c r="J64" s="430" t="e">
        <f>+G$25*I64+H64</f>
        <v>#REF!</v>
      </c>
      <c r="K64" s="444">
        <f>+M63</f>
        <v>12875000</v>
      </c>
      <c r="L64" s="441">
        <f>+K$28</f>
        <v>500000</v>
      </c>
      <c r="M64" s="441">
        <f t="shared" si="3"/>
        <v>12375000</v>
      </c>
      <c r="N64" s="430" t="e">
        <f>+K$25*M64+L64</f>
        <v>#REF!</v>
      </c>
      <c r="O64" s="444">
        <f>+Q63</f>
        <v>20125000</v>
      </c>
      <c r="P64" s="441">
        <f>+O$28</f>
        <v>750000</v>
      </c>
      <c r="Q64" s="441">
        <f t="shared" si="5"/>
        <v>19375000</v>
      </c>
      <c r="R64" s="430" t="e">
        <f>+O$25*Q64+P64</f>
        <v>#REF!</v>
      </c>
      <c r="S64" s="444">
        <f>+U63</f>
        <v>13083333.333333332</v>
      </c>
      <c r="T64" s="441">
        <f>+S$28</f>
        <v>500000</v>
      </c>
      <c r="U64" s="441">
        <f t="shared" si="6"/>
        <v>12583333.333333332</v>
      </c>
      <c r="V64" s="430" t="e">
        <f>+S$25*U64+T64</f>
        <v>#REF!</v>
      </c>
      <c r="W64" s="444">
        <f>+Y63</f>
        <v>20500000</v>
      </c>
      <c r="X64" s="441">
        <f>+W$28</f>
        <v>750000</v>
      </c>
      <c r="Y64" s="441">
        <f t="shared" si="7"/>
        <v>19750000</v>
      </c>
      <c r="Z64" s="430" t="e">
        <f>+W$25*Y64+X64</f>
        <v>#REF!</v>
      </c>
      <c r="AA64" s="444">
        <f>+AC63</f>
        <v>13095238.095238101</v>
      </c>
      <c r="AB64" s="441">
        <f>+AA$28</f>
        <v>571428.57142857148</v>
      </c>
      <c r="AC64" s="441">
        <f t="shared" si="8"/>
        <v>12523809.52380953</v>
      </c>
      <c r="AD64" s="430" t="e">
        <f>+AA$25*AC64+AB64</f>
        <v>#REF!</v>
      </c>
      <c r="AE64" s="444">
        <f>+AG63</f>
        <v>16400000</v>
      </c>
      <c r="AF64" s="441">
        <f>+AE$28</f>
        <v>1200000</v>
      </c>
      <c r="AG64" s="441">
        <f t="shared" si="9"/>
        <v>15200000</v>
      </c>
      <c r="AH64" s="430" t="e">
        <f>+AE$25*AG64+AF64</f>
        <v>#REF!</v>
      </c>
      <c r="AI64" s="444">
        <f>+AK63</f>
        <v>12499999.999999998</v>
      </c>
      <c r="AJ64" s="441">
        <f>+AI$28</f>
        <v>666666.66666666663</v>
      </c>
      <c r="AK64" s="441">
        <f t="shared" si="10"/>
        <v>11833333.333333332</v>
      </c>
      <c r="AL64" s="430" t="e">
        <f>+AI$25*AK64+AJ64</f>
        <v>#REF!</v>
      </c>
      <c r="AM64" s="460" t="e">
        <f t="shared" si="1"/>
        <v>#REF!</v>
      </c>
      <c r="AN64" s="185"/>
      <c r="AO64" s="442" t="e">
        <f>+AM64</f>
        <v>#REF!</v>
      </c>
    </row>
    <row r="65" spans="1:41">
      <c r="A65" s="379" t="s">
        <v>467</v>
      </c>
      <c r="B65" s="440">
        <f t="shared" si="4"/>
        <v>2021</v>
      </c>
      <c r="C65" s="441">
        <f>+C64</f>
        <v>9666666.6666666698</v>
      </c>
      <c r="D65" s="441">
        <f>+D64</f>
        <v>666666.66666666663</v>
      </c>
      <c r="E65" s="441">
        <f t="shared" si="11"/>
        <v>9000000.0000000037</v>
      </c>
      <c r="F65" s="430" t="e">
        <f>+C$26*E65+D65</f>
        <v>#REF!</v>
      </c>
      <c r="G65" s="441">
        <f>+G64</f>
        <v>17357142.857142843</v>
      </c>
      <c r="H65" s="441">
        <f>+H64</f>
        <v>857142.85714285716</v>
      </c>
      <c r="I65" s="441">
        <f t="shared" si="2"/>
        <v>16499999.999999987</v>
      </c>
      <c r="J65" s="430" t="e">
        <f>+G$26*I65+H65</f>
        <v>#REF!</v>
      </c>
      <c r="K65" s="444">
        <f>+K64</f>
        <v>12875000</v>
      </c>
      <c r="L65" s="441">
        <f>+L64</f>
        <v>500000</v>
      </c>
      <c r="M65" s="441">
        <f t="shared" si="3"/>
        <v>12375000</v>
      </c>
      <c r="N65" s="430" t="e">
        <f>+K$26*M65+L65</f>
        <v>#REF!</v>
      </c>
      <c r="O65" s="444">
        <f>+O64</f>
        <v>20125000</v>
      </c>
      <c r="P65" s="441">
        <f>+P64</f>
        <v>750000</v>
      </c>
      <c r="Q65" s="441">
        <f t="shared" si="5"/>
        <v>19375000</v>
      </c>
      <c r="R65" s="430" t="e">
        <f>+O$26*Q65+P65</f>
        <v>#REF!</v>
      </c>
      <c r="S65" s="444">
        <f>+S64</f>
        <v>13083333.333333332</v>
      </c>
      <c r="T65" s="441">
        <f>+T64</f>
        <v>500000</v>
      </c>
      <c r="U65" s="441">
        <f t="shared" si="6"/>
        <v>12583333.333333332</v>
      </c>
      <c r="V65" s="430" t="e">
        <f>+S$26*U65+T65</f>
        <v>#REF!</v>
      </c>
      <c r="W65" s="444">
        <f>+W64</f>
        <v>20500000</v>
      </c>
      <c r="X65" s="441">
        <f>+X64</f>
        <v>750000</v>
      </c>
      <c r="Y65" s="441">
        <f t="shared" si="7"/>
        <v>19750000</v>
      </c>
      <c r="Z65" s="430" t="e">
        <f>+W$26*Y65+X65</f>
        <v>#REF!</v>
      </c>
      <c r="AA65" s="444">
        <f>+AA64</f>
        <v>13095238.095238101</v>
      </c>
      <c r="AB65" s="441">
        <f>+AB64</f>
        <v>571428.57142857148</v>
      </c>
      <c r="AC65" s="441">
        <f t="shared" si="8"/>
        <v>12523809.52380953</v>
      </c>
      <c r="AD65" s="430" t="e">
        <f>+AA$26*AC65+AB65</f>
        <v>#REF!</v>
      </c>
      <c r="AE65" s="444">
        <f>+AE64</f>
        <v>16400000</v>
      </c>
      <c r="AF65" s="441">
        <f>+AF64</f>
        <v>1200000</v>
      </c>
      <c r="AG65" s="441">
        <f t="shared" si="9"/>
        <v>15200000</v>
      </c>
      <c r="AH65" s="430" t="e">
        <f>+AE$26*AG65+AF65</f>
        <v>#REF!</v>
      </c>
      <c r="AI65" s="444">
        <f>+AI64</f>
        <v>12499999.999999998</v>
      </c>
      <c r="AJ65" s="441">
        <f>+AJ64</f>
        <v>666666.66666666663</v>
      </c>
      <c r="AK65" s="441">
        <f t="shared" si="10"/>
        <v>11833333.333333332</v>
      </c>
      <c r="AL65" s="430" t="e">
        <f>+AI$26*AK65+AJ65</f>
        <v>#REF!</v>
      </c>
      <c r="AM65" s="460" t="e">
        <f t="shared" si="1"/>
        <v>#REF!</v>
      </c>
      <c r="AN65" s="443" t="e">
        <f>+AM65</f>
        <v>#REF!</v>
      </c>
      <c r="AO65" s="377"/>
    </row>
    <row r="66" spans="1:41">
      <c r="A66" s="379" t="s">
        <v>502</v>
      </c>
      <c r="B66" s="440">
        <f t="shared" si="4"/>
        <v>2022</v>
      </c>
      <c r="C66" s="441">
        <f>+E65</f>
        <v>9000000.0000000037</v>
      </c>
      <c r="D66" s="441">
        <f>+C$28</f>
        <v>666666.66666666663</v>
      </c>
      <c r="E66" s="441">
        <f t="shared" si="11"/>
        <v>8333333.3333333367</v>
      </c>
      <c r="F66" s="430" t="e">
        <f>+C$25*E66+D66</f>
        <v>#REF!</v>
      </c>
      <c r="G66" s="441">
        <f>+I65</f>
        <v>16499999.999999987</v>
      </c>
      <c r="H66" s="441">
        <f>+G$28</f>
        <v>857142.85714285716</v>
      </c>
      <c r="I66" s="441">
        <f t="shared" ref="I66:I71" si="12">+G66-H66</f>
        <v>15642857.142857131</v>
      </c>
      <c r="J66" s="430" t="e">
        <f>+G$25*I66+H66</f>
        <v>#REF!</v>
      </c>
      <c r="K66" s="444">
        <f>+M65</f>
        <v>12375000</v>
      </c>
      <c r="L66" s="441">
        <f>+K$28</f>
        <v>500000</v>
      </c>
      <c r="M66" s="441">
        <f t="shared" ref="M66:M71" si="13">+K66-L66</f>
        <v>11875000</v>
      </c>
      <c r="N66" s="430" t="e">
        <f>+K$25*M66+L66</f>
        <v>#REF!</v>
      </c>
      <c r="O66" s="444">
        <f>+Q65</f>
        <v>19375000</v>
      </c>
      <c r="P66" s="441">
        <f>+O$28</f>
        <v>750000</v>
      </c>
      <c r="Q66" s="441">
        <f t="shared" si="5"/>
        <v>18625000</v>
      </c>
      <c r="R66" s="430" t="e">
        <f>+O$25*Q66+P66</f>
        <v>#REF!</v>
      </c>
      <c r="S66" s="444">
        <f>+U65</f>
        <v>12583333.333333332</v>
      </c>
      <c r="T66" s="441">
        <f>+S$28</f>
        <v>500000</v>
      </c>
      <c r="U66" s="441">
        <f t="shared" si="6"/>
        <v>12083333.333333332</v>
      </c>
      <c r="V66" s="430" t="e">
        <f>+S$25*U66+T66</f>
        <v>#REF!</v>
      </c>
      <c r="W66" s="444">
        <f>+Y65</f>
        <v>19750000</v>
      </c>
      <c r="X66" s="441">
        <f>+W$28</f>
        <v>750000</v>
      </c>
      <c r="Y66" s="441">
        <f t="shared" si="7"/>
        <v>19000000</v>
      </c>
      <c r="Z66" s="430" t="e">
        <f>+W$25*Y66+X66</f>
        <v>#REF!</v>
      </c>
      <c r="AA66" s="444">
        <f>+AC65</f>
        <v>12523809.52380953</v>
      </c>
      <c r="AB66" s="441">
        <f>+AA$28</f>
        <v>571428.57142857148</v>
      </c>
      <c r="AC66" s="441">
        <f t="shared" si="8"/>
        <v>11952380.952380959</v>
      </c>
      <c r="AD66" s="430" t="e">
        <f>+AA$25*AC66+AB66</f>
        <v>#REF!</v>
      </c>
      <c r="AE66" s="444">
        <f>+AG65</f>
        <v>15200000</v>
      </c>
      <c r="AF66" s="441">
        <f>+AE$28</f>
        <v>1200000</v>
      </c>
      <c r="AG66" s="441">
        <f t="shared" si="9"/>
        <v>14000000</v>
      </c>
      <c r="AH66" s="430" t="e">
        <f>+AE$25*AG66+AF66</f>
        <v>#REF!</v>
      </c>
      <c r="AI66" s="444">
        <f>+AK65</f>
        <v>11833333.333333332</v>
      </c>
      <c r="AJ66" s="441">
        <f>+AI$28</f>
        <v>666666.66666666663</v>
      </c>
      <c r="AK66" s="441">
        <f t="shared" si="10"/>
        <v>11166666.666666666</v>
      </c>
      <c r="AL66" s="430" t="e">
        <f>+AI$25*AK66+AJ66</f>
        <v>#REF!</v>
      </c>
      <c r="AM66" s="460" t="e">
        <f t="shared" si="1"/>
        <v>#REF!</v>
      </c>
      <c r="AN66" s="185"/>
      <c r="AO66" s="442" t="e">
        <f>+AM66</f>
        <v>#REF!</v>
      </c>
    </row>
    <row r="67" spans="1:41">
      <c r="A67" s="379" t="s">
        <v>467</v>
      </c>
      <c r="B67" s="440">
        <f t="shared" si="4"/>
        <v>2022</v>
      </c>
      <c r="C67" s="441">
        <f>+C66</f>
        <v>9000000.0000000037</v>
      </c>
      <c r="D67" s="441">
        <f>+D66</f>
        <v>666666.66666666663</v>
      </c>
      <c r="E67" s="441">
        <f t="shared" si="11"/>
        <v>8333333.3333333367</v>
      </c>
      <c r="F67" s="430" t="e">
        <f>+C$26*E67+D67</f>
        <v>#REF!</v>
      </c>
      <c r="G67" s="441">
        <f>+G66</f>
        <v>16499999.999999987</v>
      </c>
      <c r="H67" s="441">
        <f>+H66</f>
        <v>857142.85714285716</v>
      </c>
      <c r="I67" s="441">
        <f t="shared" si="12"/>
        <v>15642857.142857131</v>
      </c>
      <c r="J67" s="430" t="e">
        <f>+G$26*I67+H67</f>
        <v>#REF!</v>
      </c>
      <c r="K67" s="444">
        <f>+K66</f>
        <v>12375000</v>
      </c>
      <c r="L67" s="441">
        <f>+L66</f>
        <v>500000</v>
      </c>
      <c r="M67" s="441">
        <f t="shared" si="13"/>
        <v>11875000</v>
      </c>
      <c r="N67" s="430" t="e">
        <f>+K$26*M67+L67</f>
        <v>#REF!</v>
      </c>
      <c r="O67" s="444">
        <f>+O66</f>
        <v>19375000</v>
      </c>
      <c r="P67" s="441">
        <f>+P66</f>
        <v>750000</v>
      </c>
      <c r="Q67" s="441">
        <f t="shared" si="5"/>
        <v>18625000</v>
      </c>
      <c r="R67" s="430" t="e">
        <f>+O$26*Q67+P67</f>
        <v>#REF!</v>
      </c>
      <c r="S67" s="444">
        <f>+S66</f>
        <v>12583333.333333332</v>
      </c>
      <c r="T67" s="441">
        <f>+T66</f>
        <v>500000</v>
      </c>
      <c r="U67" s="441">
        <f t="shared" si="6"/>
        <v>12083333.333333332</v>
      </c>
      <c r="V67" s="430" t="e">
        <f>+S$26*U67+T67</f>
        <v>#REF!</v>
      </c>
      <c r="W67" s="444">
        <f>+W66</f>
        <v>19750000</v>
      </c>
      <c r="X67" s="441">
        <f>+X66</f>
        <v>750000</v>
      </c>
      <c r="Y67" s="441">
        <f t="shared" si="7"/>
        <v>19000000</v>
      </c>
      <c r="Z67" s="430" t="e">
        <f>+W$26*Y67+X67</f>
        <v>#REF!</v>
      </c>
      <c r="AA67" s="444">
        <f>+AA66</f>
        <v>12523809.52380953</v>
      </c>
      <c r="AB67" s="441">
        <f>+AB66</f>
        <v>571428.57142857148</v>
      </c>
      <c r="AC67" s="441">
        <f t="shared" si="8"/>
        <v>11952380.952380959</v>
      </c>
      <c r="AD67" s="430" t="e">
        <f>+AA$26*AC67+AB67</f>
        <v>#REF!</v>
      </c>
      <c r="AE67" s="444">
        <f>+AE66</f>
        <v>15200000</v>
      </c>
      <c r="AF67" s="441">
        <f>+AF66</f>
        <v>1200000</v>
      </c>
      <c r="AG67" s="441">
        <f t="shared" si="9"/>
        <v>14000000</v>
      </c>
      <c r="AH67" s="430" t="e">
        <f>+AE$26*AG67+AF67</f>
        <v>#REF!</v>
      </c>
      <c r="AI67" s="444">
        <f>+AI66</f>
        <v>11833333.333333332</v>
      </c>
      <c r="AJ67" s="441">
        <f>+AJ66</f>
        <v>666666.66666666663</v>
      </c>
      <c r="AK67" s="441">
        <f t="shared" si="10"/>
        <v>11166666.666666666</v>
      </c>
      <c r="AL67" s="430" t="e">
        <f>+AI$26*AK67+AJ67</f>
        <v>#REF!</v>
      </c>
      <c r="AM67" s="460" t="e">
        <f t="shared" si="1"/>
        <v>#REF!</v>
      </c>
      <c r="AN67" s="443" t="e">
        <f>+AM67</f>
        <v>#REF!</v>
      </c>
      <c r="AO67" s="377"/>
    </row>
    <row r="68" spans="1:41">
      <c r="A68" s="379" t="s">
        <v>502</v>
      </c>
      <c r="B68" s="440">
        <f t="shared" si="4"/>
        <v>2023</v>
      </c>
      <c r="C68" s="441">
        <f>+E67</f>
        <v>8333333.3333333367</v>
      </c>
      <c r="D68" s="441">
        <f>+C$28</f>
        <v>666666.66666666663</v>
      </c>
      <c r="E68" s="441">
        <f t="shared" si="11"/>
        <v>7666666.6666666698</v>
      </c>
      <c r="F68" s="430" t="e">
        <f>+C$25*E68+D68</f>
        <v>#REF!</v>
      </c>
      <c r="G68" s="441">
        <f>+I67</f>
        <v>15642857.142857131</v>
      </c>
      <c r="H68" s="441">
        <f>+G$28</f>
        <v>857142.85714285716</v>
      </c>
      <c r="I68" s="441">
        <f t="shared" si="12"/>
        <v>14785714.285714274</v>
      </c>
      <c r="J68" s="430" t="e">
        <f>+G$25*I68+H68</f>
        <v>#REF!</v>
      </c>
      <c r="K68" s="444">
        <f>+M67</f>
        <v>11875000</v>
      </c>
      <c r="L68" s="441">
        <f>+K$28</f>
        <v>500000</v>
      </c>
      <c r="M68" s="441">
        <f t="shared" si="13"/>
        <v>11375000</v>
      </c>
      <c r="N68" s="430" t="e">
        <f>+K$25*M68+L68</f>
        <v>#REF!</v>
      </c>
      <c r="O68" s="444">
        <f>+Q67</f>
        <v>18625000</v>
      </c>
      <c r="P68" s="441">
        <f>+O$28</f>
        <v>750000</v>
      </c>
      <c r="Q68" s="441">
        <f>+O68-P68</f>
        <v>17875000</v>
      </c>
      <c r="R68" s="430" t="e">
        <f>+O$25*Q68+P68</f>
        <v>#REF!</v>
      </c>
      <c r="S68" s="444">
        <f>+U67</f>
        <v>12083333.333333332</v>
      </c>
      <c r="T68" s="441">
        <f>+S$28</f>
        <v>500000</v>
      </c>
      <c r="U68" s="441">
        <f>+S68-T68</f>
        <v>11583333.333333332</v>
      </c>
      <c r="V68" s="430" t="e">
        <f>+S$25*U68+T68</f>
        <v>#REF!</v>
      </c>
      <c r="W68" s="444">
        <f>+Y67</f>
        <v>19000000</v>
      </c>
      <c r="X68" s="441">
        <f>+W$28</f>
        <v>750000</v>
      </c>
      <c r="Y68" s="441">
        <f t="shared" si="7"/>
        <v>18250000</v>
      </c>
      <c r="Z68" s="430" t="e">
        <f>+W$25*Y68+X68</f>
        <v>#REF!</v>
      </c>
      <c r="AA68" s="444">
        <f>+AC67</f>
        <v>11952380.952380959</v>
      </c>
      <c r="AB68" s="441">
        <f>+AA$28</f>
        <v>571428.57142857148</v>
      </c>
      <c r="AC68" s="441">
        <f t="shared" si="8"/>
        <v>11380952.380952388</v>
      </c>
      <c r="AD68" s="430" t="e">
        <f>+AA$25*AC68+AB68</f>
        <v>#REF!</v>
      </c>
      <c r="AE68" s="444">
        <f>+AG67</f>
        <v>14000000</v>
      </c>
      <c r="AF68" s="441">
        <f>+AE$28</f>
        <v>1200000</v>
      </c>
      <c r="AG68" s="441">
        <f t="shared" si="9"/>
        <v>12800000</v>
      </c>
      <c r="AH68" s="430" t="e">
        <f>+AE$25*AG68+AF68</f>
        <v>#REF!</v>
      </c>
      <c r="AI68" s="444">
        <f>+AK67</f>
        <v>11166666.666666666</v>
      </c>
      <c r="AJ68" s="441">
        <f>+AI$28</f>
        <v>666666.66666666663</v>
      </c>
      <c r="AK68" s="441">
        <f t="shared" si="10"/>
        <v>10500000</v>
      </c>
      <c r="AL68" s="430" t="e">
        <f>+AI$25*AK68+AJ68</f>
        <v>#REF!</v>
      </c>
      <c r="AM68" s="460" t="e">
        <f t="shared" si="1"/>
        <v>#REF!</v>
      </c>
      <c r="AN68" s="185"/>
      <c r="AO68" s="442" t="e">
        <f>+AM68</f>
        <v>#REF!</v>
      </c>
    </row>
    <row r="69" spans="1:41">
      <c r="A69" s="379" t="s">
        <v>467</v>
      </c>
      <c r="B69" s="440">
        <f t="shared" si="4"/>
        <v>2023</v>
      </c>
      <c r="C69" s="441">
        <f>+C68</f>
        <v>8333333.3333333367</v>
      </c>
      <c r="D69" s="441">
        <f>+D68</f>
        <v>666666.66666666663</v>
      </c>
      <c r="E69" s="441">
        <f t="shared" si="11"/>
        <v>7666666.6666666698</v>
      </c>
      <c r="F69" s="430" t="e">
        <f>+C$26*E69+D69</f>
        <v>#REF!</v>
      </c>
      <c r="G69" s="441">
        <f>+G68</f>
        <v>15642857.142857131</v>
      </c>
      <c r="H69" s="441">
        <f>+H68</f>
        <v>857142.85714285716</v>
      </c>
      <c r="I69" s="441">
        <f t="shared" si="12"/>
        <v>14785714.285714274</v>
      </c>
      <c r="J69" s="430" t="e">
        <f>+G$26*I69+H69</f>
        <v>#REF!</v>
      </c>
      <c r="K69" s="444">
        <f>+K68</f>
        <v>11875000</v>
      </c>
      <c r="L69" s="441">
        <f>+L68</f>
        <v>500000</v>
      </c>
      <c r="M69" s="441">
        <f t="shared" si="13"/>
        <v>11375000</v>
      </c>
      <c r="N69" s="430" t="e">
        <f>+K$26*M69+L69</f>
        <v>#REF!</v>
      </c>
      <c r="O69" s="444">
        <f>+O68</f>
        <v>18625000</v>
      </c>
      <c r="P69" s="441">
        <f>+P68</f>
        <v>750000</v>
      </c>
      <c r="Q69" s="441">
        <f>+O69-P69</f>
        <v>17875000</v>
      </c>
      <c r="R69" s="430" t="e">
        <f>+O$26*Q69+P69</f>
        <v>#REF!</v>
      </c>
      <c r="S69" s="444">
        <f>+S68</f>
        <v>12083333.333333332</v>
      </c>
      <c r="T69" s="441">
        <f>+T68</f>
        <v>500000</v>
      </c>
      <c r="U69" s="441">
        <f>+S69-T69</f>
        <v>11583333.333333332</v>
      </c>
      <c r="V69" s="430" t="e">
        <f>+S$26*U69+T69</f>
        <v>#REF!</v>
      </c>
      <c r="W69" s="444">
        <f>+W68</f>
        <v>19000000</v>
      </c>
      <c r="X69" s="441">
        <f>+X68</f>
        <v>750000</v>
      </c>
      <c r="Y69" s="441">
        <f t="shared" si="7"/>
        <v>18250000</v>
      </c>
      <c r="Z69" s="430" t="e">
        <f>+W$26*Y69+X69</f>
        <v>#REF!</v>
      </c>
      <c r="AA69" s="444">
        <f>+AA68</f>
        <v>11952380.952380959</v>
      </c>
      <c r="AB69" s="441">
        <f>+AB68</f>
        <v>571428.57142857148</v>
      </c>
      <c r="AC69" s="441">
        <f t="shared" si="8"/>
        <v>11380952.380952388</v>
      </c>
      <c r="AD69" s="430" t="e">
        <f>+AA$26*AC69+AB69</f>
        <v>#REF!</v>
      </c>
      <c r="AE69" s="444">
        <f>+AE68</f>
        <v>14000000</v>
      </c>
      <c r="AF69" s="441">
        <f>+AF68</f>
        <v>1200000</v>
      </c>
      <c r="AG69" s="441">
        <f t="shared" si="9"/>
        <v>12800000</v>
      </c>
      <c r="AH69" s="430" t="e">
        <f>+AE$26*AG69+AF69</f>
        <v>#REF!</v>
      </c>
      <c r="AI69" s="444">
        <f>+AI68</f>
        <v>11166666.666666666</v>
      </c>
      <c r="AJ69" s="441">
        <f>+AJ68</f>
        <v>666666.66666666663</v>
      </c>
      <c r="AK69" s="441">
        <f t="shared" si="10"/>
        <v>10500000</v>
      </c>
      <c r="AL69" s="430" t="e">
        <f>+AI$26*AK69+AJ69</f>
        <v>#REF!</v>
      </c>
      <c r="AM69" s="460" t="e">
        <f t="shared" si="1"/>
        <v>#REF!</v>
      </c>
      <c r="AN69" s="443" t="e">
        <f>+AM69</f>
        <v>#REF!</v>
      </c>
      <c r="AO69" s="377"/>
    </row>
    <row r="70" spans="1:41">
      <c r="A70" s="379" t="s">
        <v>502</v>
      </c>
      <c r="B70" s="440">
        <f t="shared" si="4"/>
        <v>2024</v>
      </c>
      <c r="C70" s="441">
        <f>+E69</f>
        <v>7666666.6666666698</v>
      </c>
      <c r="D70" s="441">
        <f>+C$28</f>
        <v>666666.66666666663</v>
      </c>
      <c r="E70" s="441">
        <f t="shared" si="11"/>
        <v>7000000.0000000028</v>
      </c>
      <c r="F70" s="430" t="e">
        <f>+C$25*E70+D70</f>
        <v>#REF!</v>
      </c>
      <c r="G70" s="441">
        <f>+I69</f>
        <v>14785714.285714274</v>
      </c>
      <c r="H70" s="441">
        <f>+G$28</f>
        <v>857142.85714285716</v>
      </c>
      <c r="I70" s="441">
        <f t="shared" si="12"/>
        <v>13928571.428571418</v>
      </c>
      <c r="J70" s="430" t="e">
        <f>+G$25*I70+H70</f>
        <v>#REF!</v>
      </c>
      <c r="K70" s="444">
        <f>+M69</f>
        <v>11375000</v>
      </c>
      <c r="L70" s="441">
        <f>+K$28</f>
        <v>500000</v>
      </c>
      <c r="M70" s="441">
        <f t="shared" si="13"/>
        <v>10875000</v>
      </c>
      <c r="N70" s="430" t="e">
        <f>+K$25*M70+L70</f>
        <v>#REF!</v>
      </c>
      <c r="O70" s="444">
        <f>+Q69</f>
        <v>17875000</v>
      </c>
      <c r="P70" s="441">
        <f>+O$28</f>
        <v>750000</v>
      </c>
      <c r="Q70" s="441">
        <f>+O70-P70</f>
        <v>17125000</v>
      </c>
      <c r="R70" s="430" t="e">
        <f>+O$25*Q70+P70</f>
        <v>#REF!</v>
      </c>
      <c r="S70" s="444">
        <f>+U69</f>
        <v>11583333.333333332</v>
      </c>
      <c r="T70" s="441">
        <f>+S$28</f>
        <v>500000</v>
      </c>
      <c r="U70" s="441">
        <f>+S70-T70</f>
        <v>11083333.333333332</v>
      </c>
      <c r="V70" s="430" t="e">
        <f>+S$25*U70+T70</f>
        <v>#REF!</v>
      </c>
      <c r="W70" s="444">
        <f>+Y69</f>
        <v>18250000</v>
      </c>
      <c r="X70" s="441">
        <f>+W$28</f>
        <v>750000</v>
      </c>
      <c r="Y70" s="441">
        <f>+W70-X70</f>
        <v>17500000</v>
      </c>
      <c r="Z70" s="430" t="e">
        <f>+W$25*Y70+X70</f>
        <v>#REF!</v>
      </c>
      <c r="AA70" s="444">
        <f>+AC69</f>
        <v>11380952.380952388</v>
      </c>
      <c r="AB70" s="441">
        <f>+AA$28</f>
        <v>571428.57142857148</v>
      </c>
      <c r="AC70" s="441">
        <f>+AA70-AB70</f>
        <v>10809523.809523817</v>
      </c>
      <c r="AD70" s="430" t="e">
        <f>+AA$25*AC70+AB70</f>
        <v>#REF!</v>
      </c>
      <c r="AE70" s="444">
        <f>+AG69</f>
        <v>12800000</v>
      </c>
      <c r="AF70" s="441">
        <f>+AE$28</f>
        <v>1200000</v>
      </c>
      <c r="AG70" s="441">
        <f t="shared" si="9"/>
        <v>11600000</v>
      </c>
      <c r="AH70" s="430" t="e">
        <f>+AE$25*AG70+AF70</f>
        <v>#REF!</v>
      </c>
      <c r="AI70" s="444">
        <f>+AK69</f>
        <v>10500000</v>
      </c>
      <c r="AJ70" s="441">
        <f>+AI$28</f>
        <v>666666.66666666663</v>
      </c>
      <c r="AK70" s="441">
        <f t="shared" si="10"/>
        <v>9833333.333333334</v>
      </c>
      <c r="AL70" s="430" t="e">
        <f>+AI$25*AK70+AJ70</f>
        <v>#REF!</v>
      </c>
      <c r="AM70" s="460" t="e">
        <f t="shared" si="1"/>
        <v>#REF!</v>
      </c>
      <c r="AN70" s="185"/>
      <c r="AO70" s="442" t="e">
        <f>+AM70</f>
        <v>#REF!</v>
      </c>
    </row>
    <row r="71" spans="1:41">
      <c r="A71" s="379" t="s">
        <v>467</v>
      </c>
      <c r="B71" s="440">
        <f t="shared" si="4"/>
        <v>2024</v>
      </c>
      <c r="C71" s="441"/>
      <c r="D71" s="441">
        <f>+D70</f>
        <v>666666.66666666663</v>
      </c>
      <c r="E71" s="441">
        <f t="shared" si="11"/>
        <v>-666666.66666666663</v>
      </c>
      <c r="F71" s="430" t="e">
        <f>+C$26*E71+D71</f>
        <v>#REF!</v>
      </c>
      <c r="G71" s="441">
        <f>+G70</f>
        <v>14785714.285714274</v>
      </c>
      <c r="H71" s="441">
        <f>+H70</f>
        <v>857142.85714285716</v>
      </c>
      <c r="I71" s="441">
        <f t="shared" si="12"/>
        <v>13928571.428571418</v>
      </c>
      <c r="J71" s="430" t="e">
        <f>+G$26*I71+H71</f>
        <v>#REF!</v>
      </c>
      <c r="K71" s="444">
        <f>+K70</f>
        <v>11375000</v>
      </c>
      <c r="L71" s="441">
        <f>+L70</f>
        <v>500000</v>
      </c>
      <c r="M71" s="441">
        <f t="shared" si="13"/>
        <v>10875000</v>
      </c>
      <c r="N71" s="430" t="e">
        <f>+K$26*M71+L71</f>
        <v>#REF!</v>
      </c>
      <c r="O71" s="444">
        <f>+O70</f>
        <v>17875000</v>
      </c>
      <c r="P71" s="441">
        <f>+P70</f>
        <v>750000</v>
      </c>
      <c r="Q71" s="441">
        <f>+O71-P71</f>
        <v>17125000</v>
      </c>
      <c r="R71" s="430" t="e">
        <f>+O$26*Q71+P71</f>
        <v>#REF!</v>
      </c>
      <c r="S71" s="444">
        <f>+S70</f>
        <v>11583333.333333332</v>
      </c>
      <c r="T71" s="441">
        <f>+T70</f>
        <v>500000</v>
      </c>
      <c r="U71" s="441">
        <f>+S71-T71</f>
        <v>11083333.333333332</v>
      </c>
      <c r="V71" s="430" t="e">
        <f>+S$26*U71+T71</f>
        <v>#REF!</v>
      </c>
      <c r="W71" s="444">
        <f>+W70</f>
        <v>18250000</v>
      </c>
      <c r="X71" s="441">
        <f>+X70</f>
        <v>750000</v>
      </c>
      <c r="Y71" s="441">
        <f>+W71-X71</f>
        <v>17500000</v>
      </c>
      <c r="Z71" s="430" t="e">
        <f>+W$26*Y71+X71</f>
        <v>#REF!</v>
      </c>
      <c r="AA71" s="444">
        <f>+AA70</f>
        <v>11380952.380952388</v>
      </c>
      <c r="AB71" s="441">
        <f>+AB70</f>
        <v>571428.57142857148</v>
      </c>
      <c r="AC71" s="441">
        <f>+AA71-AB71</f>
        <v>10809523.809523817</v>
      </c>
      <c r="AD71" s="430" t="e">
        <f>+AA$26*AC71+AB71</f>
        <v>#REF!</v>
      </c>
      <c r="AE71" s="444">
        <f>+AE70</f>
        <v>12800000</v>
      </c>
      <c r="AF71" s="441">
        <f>+AF70</f>
        <v>1200000</v>
      </c>
      <c r="AG71" s="441">
        <f t="shared" si="9"/>
        <v>11600000</v>
      </c>
      <c r="AH71" s="430" t="e">
        <f>+AE$26*AG71+AF71</f>
        <v>#REF!</v>
      </c>
      <c r="AI71" s="444">
        <f>+AI70</f>
        <v>10500000</v>
      </c>
      <c r="AJ71" s="441">
        <f>+AJ70</f>
        <v>666666.66666666663</v>
      </c>
      <c r="AK71" s="441">
        <f t="shared" si="10"/>
        <v>9833333.333333334</v>
      </c>
      <c r="AL71" s="430" t="e">
        <f>+AI$26*AK71+AJ71</f>
        <v>#REF!</v>
      </c>
      <c r="AM71" s="460" t="e">
        <f t="shared" si="1"/>
        <v>#REF!</v>
      </c>
      <c r="AN71" s="443" t="e">
        <f>+AM71</f>
        <v>#REF!</v>
      </c>
      <c r="AO71" s="377"/>
    </row>
    <row r="72" spans="1:41">
      <c r="A72" s="445" t="s">
        <v>495</v>
      </c>
      <c r="B72" s="446" t="s">
        <v>495</v>
      </c>
      <c r="C72" s="447"/>
      <c r="D72" s="447" t="s">
        <v>495</v>
      </c>
      <c r="E72" s="447" t="s">
        <v>496</v>
      </c>
      <c r="F72" s="448" t="s">
        <v>495</v>
      </c>
      <c r="G72" s="447" t="s">
        <v>495</v>
      </c>
      <c r="H72" s="447" t="s">
        <v>495</v>
      </c>
      <c r="I72" s="447" t="s">
        <v>496</v>
      </c>
      <c r="J72" s="448" t="s">
        <v>495</v>
      </c>
      <c r="K72" s="447" t="s">
        <v>495</v>
      </c>
      <c r="L72" s="447" t="s">
        <v>495</v>
      </c>
      <c r="M72" s="447" t="s">
        <v>496</v>
      </c>
      <c r="N72" s="448" t="s">
        <v>495</v>
      </c>
      <c r="O72" s="447" t="s">
        <v>495</v>
      </c>
      <c r="P72" s="447" t="s">
        <v>495</v>
      </c>
      <c r="Q72" s="447" t="s">
        <v>496</v>
      </c>
      <c r="R72" s="448" t="s">
        <v>495</v>
      </c>
      <c r="S72" s="447" t="s">
        <v>495</v>
      </c>
      <c r="T72" s="447" t="s">
        <v>495</v>
      </c>
      <c r="U72" s="447" t="s">
        <v>496</v>
      </c>
      <c r="V72" s="448" t="s">
        <v>495</v>
      </c>
      <c r="W72" s="447" t="s">
        <v>495</v>
      </c>
      <c r="X72" s="447" t="s">
        <v>495</v>
      </c>
      <c r="Y72" s="447" t="s">
        <v>496</v>
      </c>
      <c r="Z72" s="448" t="s">
        <v>495</v>
      </c>
      <c r="AA72" s="447" t="s">
        <v>495</v>
      </c>
      <c r="AB72" s="447" t="s">
        <v>495</v>
      </c>
      <c r="AC72" s="447" t="s">
        <v>496</v>
      </c>
      <c r="AD72" s="448" t="s">
        <v>495</v>
      </c>
      <c r="AE72" s="447" t="s">
        <v>495</v>
      </c>
      <c r="AF72" s="447" t="s">
        <v>495</v>
      </c>
      <c r="AG72" s="447" t="s">
        <v>496</v>
      </c>
      <c r="AH72" s="448" t="s">
        <v>495</v>
      </c>
      <c r="AI72" s="447" t="s">
        <v>495</v>
      </c>
      <c r="AJ72" s="447" t="s">
        <v>495</v>
      </c>
      <c r="AK72" s="447" t="s">
        <v>496</v>
      </c>
      <c r="AL72" s="448" t="s">
        <v>495</v>
      </c>
      <c r="AM72" s="460"/>
      <c r="AN72" s="185"/>
      <c r="AO72" s="442">
        <f>+AM72</f>
        <v>0</v>
      </c>
    </row>
    <row r="73" spans="1:41" ht="13.5" thickBot="1">
      <c r="A73" s="449" t="s">
        <v>495</v>
      </c>
      <c r="B73" s="450" t="s">
        <v>495</v>
      </c>
      <c r="C73" s="451" t="s">
        <v>495</v>
      </c>
      <c r="D73" s="451" t="s">
        <v>496</v>
      </c>
      <c r="E73" s="451" t="s">
        <v>496</v>
      </c>
      <c r="F73" s="452" t="s">
        <v>495</v>
      </c>
      <c r="G73" s="451" t="s">
        <v>495</v>
      </c>
      <c r="H73" s="451" t="s">
        <v>496</v>
      </c>
      <c r="I73" s="451" t="s">
        <v>496</v>
      </c>
      <c r="J73" s="452" t="s">
        <v>495</v>
      </c>
      <c r="K73" s="451" t="s">
        <v>495</v>
      </c>
      <c r="L73" s="451" t="s">
        <v>496</v>
      </c>
      <c r="M73" s="451" t="s">
        <v>496</v>
      </c>
      <c r="N73" s="452" t="s">
        <v>495</v>
      </c>
      <c r="O73" s="451" t="s">
        <v>495</v>
      </c>
      <c r="P73" s="451" t="s">
        <v>496</v>
      </c>
      <c r="Q73" s="451" t="s">
        <v>496</v>
      </c>
      <c r="R73" s="452" t="s">
        <v>495</v>
      </c>
      <c r="S73" s="451" t="s">
        <v>495</v>
      </c>
      <c r="T73" s="451" t="s">
        <v>496</v>
      </c>
      <c r="U73" s="451" t="s">
        <v>496</v>
      </c>
      <c r="V73" s="452" t="s">
        <v>495</v>
      </c>
      <c r="W73" s="451" t="s">
        <v>495</v>
      </c>
      <c r="X73" s="451" t="s">
        <v>496</v>
      </c>
      <c r="Y73" s="451" t="s">
        <v>496</v>
      </c>
      <c r="Z73" s="452" t="s">
        <v>495</v>
      </c>
      <c r="AA73" s="451" t="s">
        <v>495</v>
      </c>
      <c r="AB73" s="451" t="s">
        <v>496</v>
      </c>
      <c r="AC73" s="451" t="s">
        <v>496</v>
      </c>
      <c r="AD73" s="452" t="s">
        <v>495</v>
      </c>
      <c r="AE73" s="451" t="s">
        <v>495</v>
      </c>
      <c r="AF73" s="451" t="s">
        <v>496</v>
      </c>
      <c r="AG73" s="451" t="s">
        <v>496</v>
      </c>
      <c r="AH73" s="452" t="s">
        <v>495</v>
      </c>
      <c r="AI73" s="451" t="s">
        <v>495</v>
      </c>
      <c r="AJ73" s="451" t="s">
        <v>496</v>
      </c>
      <c r="AK73" s="451" t="s">
        <v>496</v>
      </c>
      <c r="AL73" s="452" t="s">
        <v>495</v>
      </c>
      <c r="AM73" s="461"/>
      <c r="AN73" s="453">
        <f>+AM73</f>
        <v>0</v>
      </c>
      <c r="AO73" s="385"/>
    </row>
    <row r="74" spans="1:41">
      <c r="A74" s="183"/>
      <c r="B74" s="454"/>
      <c r="C74" s="183"/>
      <c r="D74" s="183"/>
      <c r="E74" s="183"/>
      <c r="F74" s="455"/>
      <c r="G74" s="183"/>
      <c r="H74" s="183"/>
      <c r="I74" s="183"/>
      <c r="J74" s="455"/>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456" t="e">
        <f>SUM(AN32:AN71)</f>
        <v>#REF!</v>
      </c>
      <c r="AO74" s="456" t="e">
        <f>SUM(AO32:AO71)</f>
        <v>#REF!</v>
      </c>
    </row>
    <row r="76" spans="1:41">
      <c r="AN76" s="203"/>
    </row>
    <row r="306" spans="1:6">
      <c r="A306" s="470"/>
      <c r="B306" s="469"/>
      <c r="C306" s="470"/>
      <c r="D306" s="470"/>
      <c r="E306" s="470"/>
      <c r="F306" s="471"/>
    </row>
    <row r="307" spans="1:6">
      <c r="A307" s="470"/>
      <c r="B307" s="469"/>
      <c r="C307" s="470"/>
      <c r="D307" s="470"/>
      <c r="E307" s="470"/>
      <c r="F307" s="471"/>
    </row>
    <row r="308" spans="1:6">
      <c r="A308" s="470"/>
      <c r="B308" s="469"/>
      <c r="C308" s="470"/>
      <c r="D308" s="470"/>
      <c r="E308" s="470"/>
      <c r="F308" s="471"/>
    </row>
    <row r="309" spans="1:6">
      <c r="A309" s="470"/>
      <c r="B309" s="469"/>
      <c r="C309" s="470"/>
      <c r="D309" s="470"/>
      <c r="E309" s="470"/>
      <c r="F309" s="471"/>
    </row>
    <row r="310" spans="1:6">
      <c r="A310" s="470"/>
      <c r="B310" s="469"/>
      <c r="C310" s="470"/>
      <c r="D310" s="470"/>
      <c r="E310" s="470"/>
      <c r="F310" s="471"/>
    </row>
    <row r="311" spans="1:6">
      <c r="A311" s="470"/>
      <c r="B311" s="469"/>
      <c r="C311" s="470"/>
      <c r="D311" s="470"/>
      <c r="E311" s="470"/>
      <c r="F311" s="471"/>
    </row>
    <row r="312" spans="1:6">
      <c r="A312" s="470"/>
      <c r="B312" s="469"/>
      <c r="C312" s="470"/>
      <c r="D312" s="470"/>
      <c r="E312" s="470"/>
      <c r="F312" s="471"/>
    </row>
    <row r="313" spans="1:6">
      <c r="A313" s="470"/>
      <c r="B313" s="469"/>
      <c r="C313" s="470"/>
      <c r="D313" s="470"/>
      <c r="E313" s="470"/>
      <c r="F313" s="471"/>
    </row>
    <row r="314" spans="1:6">
      <c r="A314" s="470"/>
      <c r="B314" s="469"/>
      <c r="C314" s="470"/>
      <c r="D314" s="470"/>
      <c r="E314" s="470"/>
      <c r="F314" s="471"/>
    </row>
  </sheetData>
  <mergeCells count="1">
    <mergeCell ref="A1:AO1"/>
  </mergeCells>
  <phoneticPr fontId="0" type="noConversion"/>
  <printOptions horizontalCentered="1"/>
  <pageMargins left="0.25" right="0.25" top="0.25" bottom="0.25" header="0.5" footer="0.5"/>
  <pageSetup scale="60"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96"/>
  <sheetViews>
    <sheetView view="pageBreakPreview" topLeftCell="D1" zoomScale="60" zoomScaleNormal="70" workbookViewId="0">
      <pane ySplit="13" topLeftCell="A14" activePane="bottomLeft" state="frozen"/>
      <selection activeCell="D9" sqref="D9"/>
      <selection pane="bottomLeft" activeCell="J110" sqref="J110"/>
    </sheetView>
  </sheetViews>
  <sheetFormatPr defaultRowHeight="12.75"/>
  <cols>
    <col min="1" max="1" width="6.42578125" customWidth="1"/>
    <col min="2" max="2" width="4.28515625" customWidth="1"/>
    <col min="3" max="3" width="58" customWidth="1"/>
    <col min="4" max="4" width="35.5703125" customWidth="1"/>
    <col min="5" max="5" width="15.42578125" bestFit="1" customWidth="1"/>
    <col min="6" max="6" width="20.7109375" customWidth="1"/>
    <col min="7" max="7" width="15.140625" customWidth="1"/>
    <col min="8" max="8" width="13" customWidth="1"/>
    <col min="9" max="9" width="15.85546875" customWidth="1"/>
    <col min="10" max="10" width="12.7109375" customWidth="1"/>
    <col min="11" max="11" width="15.42578125" customWidth="1"/>
    <col min="12" max="12" width="13.85546875" customWidth="1"/>
    <col min="13" max="13" width="12.85546875" customWidth="1"/>
    <col min="14" max="14" width="12.5703125" customWidth="1"/>
    <col min="15" max="15" width="12.28515625" customWidth="1"/>
    <col min="16" max="16" width="13.140625" customWidth="1"/>
    <col min="17" max="17" width="14.85546875" customWidth="1"/>
  </cols>
  <sheetData>
    <row r="2" spans="1:17">
      <c r="G2" s="178" t="s">
        <v>458</v>
      </c>
      <c r="H2" s="178" t="s">
        <v>458</v>
      </c>
      <c r="I2" s="178" t="s">
        <v>458</v>
      </c>
      <c r="J2" s="178" t="s">
        <v>458</v>
      </c>
      <c r="K2" s="178" t="s">
        <v>458</v>
      </c>
      <c r="L2" s="178" t="s">
        <v>458</v>
      </c>
      <c r="M2" s="178" t="s">
        <v>458</v>
      </c>
      <c r="N2" s="178" t="s">
        <v>458</v>
      </c>
      <c r="O2" s="178" t="s">
        <v>458</v>
      </c>
      <c r="P2" s="178" t="s">
        <v>458</v>
      </c>
      <c r="Q2" s="178" t="s">
        <v>458</v>
      </c>
    </row>
    <row r="3" spans="1:17" ht="16.5" thickBot="1">
      <c r="A3" s="187" t="s">
        <v>617</v>
      </c>
      <c r="G3" s="242" t="s">
        <v>178</v>
      </c>
      <c r="H3" s="242" t="str">
        <f>'ATT H-2A'!$B295</f>
        <v>B</v>
      </c>
      <c r="I3" s="242" t="str">
        <f>'ATT H-2A'!$B298</f>
        <v>C</v>
      </c>
      <c r="J3" s="242" t="str">
        <f>'ATT H-2A'!$B299</f>
        <v>D</v>
      </c>
      <c r="K3" s="242" t="str">
        <f>'ATT H-2A'!$B300&amp;"  &amp;  "&amp;'ATT H-2A'!$B302</f>
        <v>E  &amp;  G</v>
      </c>
      <c r="L3" s="242" t="str">
        <f>'ATT H-2A'!$B301</f>
        <v>F</v>
      </c>
      <c r="M3" s="242" t="str">
        <f>'ATT H-2A'!$B303</f>
        <v>I</v>
      </c>
      <c r="N3" s="242" t="str">
        <f>'ATT H-2A'!$B313</f>
        <v>K</v>
      </c>
      <c r="O3" s="242" t="str">
        <f>'ATT H-2A'!$B314</f>
        <v>L</v>
      </c>
      <c r="P3" s="242" t="str">
        <f>'ATT H-2A'!$B315</f>
        <v>M</v>
      </c>
      <c r="Q3" s="242" t="str">
        <f>'ATT H-2A'!$B316</f>
        <v>N</v>
      </c>
    </row>
    <row r="4" spans="1:17" ht="87.75" customHeight="1">
      <c r="A4" s="1093" t="s">
        <v>619</v>
      </c>
      <c r="B4" s="1094"/>
      <c r="C4" s="1094"/>
      <c r="D4" s="1094"/>
      <c r="E4" s="1094"/>
      <c r="F4" s="1095"/>
      <c r="G4" s="388" t="s">
        <v>620</v>
      </c>
      <c r="H4" s="388" t="s">
        <v>621</v>
      </c>
      <c r="I4" s="388" t="s">
        <v>622</v>
      </c>
      <c r="J4" s="388" t="s">
        <v>623</v>
      </c>
      <c r="K4" s="388" t="s">
        <v>624</v>
      </c>
      <c r="L4" s="388" t="s">
        <v>625</v>
      </c>
      <c r="M4" s="388" t="s">
        <v>630</v>
      </c>
      <c r="N4" s="388" t="s">
        <v>626</v>
      </c>
      <c r="O4" s="388" t="s">
        <v>627</v>
      </c>
      <c r="P4" s="388" t="s">
        <v>628</v>
      </c>
      <c r="Q4" s="389" t="s">
        <v>629</v>
      </c>
    </row>
    <row r="5" spans="1:17" ht="15.75" hidden="1">
      <c r="A5" s="285"/>
      <c r="B5" s="279" t="str">
        <f>'ATT H-2A'!B9</f>
        <v>Wages &amp; Salary Allocation Factor</v>
      </c>
      <c r="C5" s="152"/>
      <c r="D5" s="152"/>
      <c r="E5" s="251"/>
      <c r="F5" s="286"/>
      <c r="G5" s="185"/>
      <c r="H5" s="185"/>
      <c r="I5" s="185"/>
      <c r="J5" s="185"/>
      <c r="K5" s="185"/>
      <c r="L5" s="185"/>
      <c r="M5" s="185"/>
      <c r="N5" s="185"/>
      <c r="O5" s="185"/>
      <c r="P5" s="185"/>
      <c r="Q5" s="377"/>
    </row>
    <row r="6" spans="1:17" ht="15.75" hidden="1">
      <c r="A6" s="287">
        <f>'ATT H-2A'!A10</f>
        <v>1</v>
      </c>
      <c r="B6" s="258"/>
      <c r="C6" s="233" t="str">
        <f>'ATT H-2A'!C10</f>
        <v>Transmission Wages Expense</v>
      </c>
      <c r="D6" s="288"/>
      <c r="E6" s="264"/>
      <c r="F6" s="286" t="str">
        <f>'ATT H-2A'!F10</f>
        <v>p354.21.b</v>
      </c>
      <c r="G6" s="185"/>
      <c r="H6" s="185"/>
      <c r="I6" s="185"/>
      <c r="J6" s="185"/>
      <c r="K6" s="185"/>
      <c r="L6" s="185"/>
      <c r="M6" s="185"/>
      <c r="N6" s="185"/>
      <c r="O6" s="185"/>
      <c r="P6" s="185"/>
      <c r="Q6" s="377"/>
    </row>
    <row r="7" spans="1:17" ht="15.75" hidden="1">
      <c r="A7" s="289"/>
      <c r="B7" s="152"/>
      <c r="C7" s="152"/>
      <c r="D7" s="152"/>
      <c r="E7" s="234"/>
      <c r="F7" s="290"/>
      <c r="G7" s="185"/>
      <c r="H7" s="185"/>
      <c r="I7" s="185"/>
      <c r="J7" s="185"/>
      <c r="K7" s="185"/>
      <c r="L7" s="185"/>
      <c r="M7" s="185"/>
      <c r="N7" s="185"/>
      <c r="O7" s="185"/>
      <c r="P7" s="185"/>
      <c r="Q7" s="377"/>
    </row>
    <row r="8" spans="1:17" ht="15.75" hidden="1">
      <c r="A8" s="287">
        <f>'ATT H-2A'!A12</f>
        <v>2</v>
      </c>
      <c r="B8" s="258"/>
      <c r="C8" s="233" t="str">
        <f>'ATT H-2A'!C12</f>
        <v>Total Wages Expense</v>
      </c>
      <c r="D8" s="233"/>
      <c r="E8" s="234"/>
      <c r="F8" s="291" t="str">
        <f>'ATT H-2A'!F12</f>
        <v>p354.28b</v>
      </c>
      <c r="G8" s="185"/>
      <c r="H8" s="185"/>
      <c r="I8" s="185"/>
      <c r="J8" s="185"/>
      <c r="K8" s="185"/>
      <c r="L8" s="185"/>
      <c r="M8" s="185"/>
      <c r="N8" s="185"/>
      <c r="O8" s="185"/>
      <c r="P8" s="185"/>
      <c r="Q8" s="377"/>
    </row>
    <row r="9" spans="1:17" ht="15.75" hidden="1">
      <c r="A9" s="287">
        <f>'ATT H-2A'!A13</f>
        <v>3</v>
      </c>
      <c r="B9" s="258"/>
      <c r="C9" s="233" t="str">
        <f>'ATT H-2A'!C13</f>
        <v>Less A&amp;G Wages Expense</v>
      </c>
      <c r="D9" s="233"/>
      <c r="E9" s="234"/>
      <c r="F9" s="291" t="str">
        <f>'ATT H-2A'!F13</f>
        <v>p354.27b</v>
      </c>
      <c r="G9" s="185"/>
      <c r="H9" s="185"/>
      <c r="I9" s="185"/>
      <c r="J9" s="185"/>
      <c r="K9" s="185"/>
      <c r="L9" s="185"/>
      <c r="M9" s="185"/>
      <c r="N9" s="185"/>
      <c r="O9" s="185"/>
      <c r="P9" s="185"/>
      <c r="Q9" s="377"/>
    </row>
    <row r="10" spans="1:17" ht="15.75" hidden="1" customHeight="1">
      <c r="A10" s="287">
        <f>'ATT H-2A'!A14</f>
        <v>4</v>
      </c>
      <c r="B10" s="258"/>
      <c r="C10" s="235" t="str">
        <f>'ATT H-2A'!C14</f>
        <v>Total</v>
      </c>
      <c r="D10" s="236"/>
      <c r="E10" s="237"/>
      <c r="F10" s="292" t="str">
        <f>'ATT H-2A'!F14</f>
        <v>(Line 2 - 3)</v>
      </c>
      <c r="G10" s="185"/>
      <c r="H10" s="185"/>
      <c r="I10" s="185"/>
      <c r="J10" s="185"/>
      <c r="K10" s="185"/>
      <c r="L10" s="185"/>
      <c r="M10" s="185"/>
      <c r="N10" s="185"/>
      <c r="O10" s="185"/>
      <c r="P10" s="185"/>
      <c r="Q10" s="377"/>
    </row>
    <row r="11" spans="1:17" ht="15.75" hidden="1">
      <c r="A11" s="287"/>
      <c r="B11" s="258"/>
      <c r="C11" s="250"/>
      <c r="D11" s="152"/>
      <c r="E11" s="251"/>
      <c r="F11" s="293"/>
      <c r="G11" s="185"/>
      <c r="H11" s="185"/>
      <c r="I11" s="185"/>
      <c r="J11" s="185"/>
      <c r="K11" s="185"/>
      <c r="L11" s="185"/>
      <c r="M11" s="185"/>
      <c r="N11" s="185"/>
      <c r="O11" s="185"/>
      <c r="P11" s="185"/>
      <c r="Q11" s="377"/>
    </row>
    <row r="12" spans="1:17" ht="16.5" hidden="1" thickBot="1">
      <c r="A12" s="287">
        <f>'ATT H-2A'!A16</f>
        <v>5</v>
      </c>
      <c r="B12" s="238" t="str">
        <f>'ATT H-2A'!B16</f>
        <v>Wages &amp; Salary Allocator</v>
      </c>
      <c r="C12" s="238"/>
      <c r="D12" s="239"/>
      <c r="E12" s="240"/>
      <c r="F12" s="294" t="str">
        <f>'ATT H-2A'!F16</f>
        <v>(Line 1 / 4)</v>
      </c>
      <c r="G12" s="185"/>
      <c r="H12" s="185"/>
      <c r="I12" s="185"/>
      <c r="J12" s="185"/>
      <c r="K12" s="185"/>
      <c r="L12" s="185"/>
      <c r="M12" s="185"/>
      <c r="N12" s="185"/>
      <c r="O12" s="185"/>
      <c r="P12" s="185"/>
      <c r="Q12" s="377"/>
    </row>
    <row r="13" spans="1:17" ht="16.5" hidden="1" customHeight="1">
      <c r="A13" s="287"/>
      <c r="B13" s="258"/>
      <c r="C13" s="279"/>
      <c r="D13" s="243"/>
      <c r="E13" s="295"/>
      <c r="F13" s="293"/>
      <c r="G13" s="185"/>
      <c r="H13" s="185"/>
      <c r="I13" s="185"/>
      <c r="J13" s="185"/>
      <c r="K13" s="185"/>
      <c r="L13" s="185"/>
      <c r="M13" s="185"/>
      <c r="N13" s="185"/>
      <c r="O13" s="185"/>
      <c r="P13" s="185"/>
      <c r="Q13" s="377"/>
    </row>
    <row r="14" spans="1:17" ht="16.5" customHeight="1">
      <c r="A14" s="492" t="s">
        <v>617</v>
      </c>
      <c r="B14" s="258"/>
      <c r="C14" s="279"/>
      <c r="D14" s="243"/>
      <c r="E14" s="295"/>
      <c r="F14" s="293"/>
      <c r="G14" s="185"/>
      <c r="H14" s="185"/>
      <c r="I14" s="185"/>
      <c r="J14" s="185"/>
      <c r="K14" s="185"/>
      <c r="L14" s="185"/>
      <c r="M14" s="185"/>
      <c r="N14" s="185"/>
      <c r="O14" s="185"/>
      <c r="P14" s="185"/>
      <c r="Q14" s="377"/>
    </row>
    <row r="15" spans="1:17" ht="15.75">
      <c r="A15" s="289"/>
      <c r="B15" s="279" t="str">
        <f>'ATT H-2A'!B18</f>
        <v>Plant Allocation Factors</v>
      </c>
      <c r="C15" s="152"/>
      <c r="D15" s="269"/>
      <c r="E15" s="234"/>
      <c r="F15" s="290"/>
      <c r="G15" s="185"/>
      <c r="H15" s="185"/>
      <c r="I15" s="185"/>
      <c r="J15" s="185"/>
      <c r="K15" s="185"/>
      <c r="L15" s="185"/>
      <c r="M15" s="185"/>
      <c r="N15" s="185"/>
      <c r="O15" s="185"/>
      <c r="P15" s="185"/>
      <c r="Q15" s="377"/>
    </row>
    <row r="16" spans="1:17" ht="15.75">
      <c r="A16" s="296">
        <f>'ATT H-2A'!A19</f>
        <v>6</v>
      </c>
      <c r="B16" s="269"/>
      <c r="C16" s="233" t="str">
        <f>'ATT H-2A'!C19</f>
        <v>Electric Plant in Service</v>
      </c>
      <c r="D16" s="152"/>
      <c r="E16" s="242">
        <f>'ATT H-2A'!E19</f>
        <v>0</v>
      </c>
      <c r="F16" s="291" t="str">
        <f>'ATT H-2A'!F19</f>
        <v>Attachment 5</v>
      </c>
      <c r="G16" s="185"/>
      <c r="H16" s="229" t="s">
        <v>529</v>
      </c>
      <c r="I16" s="185"/>
      <c r="J16" s="185"/>
      <c r="K16" s="185"/>
      <c r="L16" s="185"/>
      <c r="M16" s="185"/>
      <c r="N16" s="185"/>
      <c r="O16" s="185"/>
      <c r="P16" s="185"/>
      <c r="Q16" s="377"/>
    </row>
    <row r="17" spans="1:17" ht="15.75">
      <c r="A17" s="296">
        <f>'ATT H-2A'!A20</f>
        <v>7</v>
      </c>
      <c r="B17" s="269"/>
      <c r="C17" s="233" t="str">
        <f>'ATT H-2A'!C20</f>
        <v>Common Plant In Service - Electric</v>
      </c>
      <c r="D17" s="152"/>
      <c r="E17" s="242" t="str">
        <f>'ATT H-2A'!E20</f>
        <v>(Note A)</v>
      </c>
      <c r="F17" s="297" t="str">
        <f>'ATT H-2A'!F20</f>
        <v>(Line 24)</v>
      </c>
      <c r="G17" s="229" t="s">
        <v>529</v>
      </c>
      <c r="H17" s="229" t="s">
        <v>529</v>
      </c>
      <c r="I17" s="185"/>
      <c r="J17" s="185"/>
      <c r="K17" s="185"/>
      <c r="L17" s="185"/>
      <c r="M17" s="185"/>
      <c r="N17" s="185"/>
      <c r="O17" s="185"/>
      <c r="P17" s="185"/>
      <c r="Q17" s="377"/>
    </row>
    <row r="18" spans="1:17" ht="15.75" hidden="1">
      <c r="A18" s="296">
        <f>'ATT H-2A'!A21</f>
        <v>8</v>
      </c>
      <c r="B18" s="269"/>
      <c r="C18" s="233" t="str">
        <f>'ATT H-2A'!C21</f>
        <v>Total Plant In Service</v>
      </c>
      <c r="D18" s="152"/>
      <c r="E18" s="264"/>
      <c r="F18" s="297" t="str">
        <f>'ATT H-2A'!F21</f>
        <v>(Sum Lines 6 &amp; 7)</v>
      </c>
      <c r="G18" s="185"/>
      <c r="H18" s="185"/>
      <c r="I18" s="185"/>
      <c r="J18" s="185"/>
      <c r="K18" s="185"/>
      <c r="L18" s="185"/>
      <c r="M18" s="185"/>
      <c r="N18" s="185"/>
      <c r="O18" s="185"/>
      <c r="P18" s="185"/>
      <c r="Q18" s="377"/>
    </row>
    <row r="19" spans="1:17" ht="15.75" hidden="1">
      <c r="A19" s="287"/>
      <c r="B19" s="258"/>
      <c r="C19" s="279"/>
      <c r="D19" s="243"/>
      <c r="E19" s="295"/>
      <c r="F19" s="293"/>
      <c r="G19" s="185"/>
      <c r="H19" s="185"/>
      <c r="I19" s="185"/>
      <c r="J19" s="185"/>
      <c r="K19" s="185"/>
      <c r="L19" s="185"/>
      <c r="M19" s="185"/>
      <c r="N19" s="185"/>
      <c r="O19" s="185"/>
      <c r="P19" s="185"/>
      <c r="Q19" s="377"/>
    </row>
    <row r="20" spans="1:17" ht="15.75" hidden="1">
      <c r="A20" s="296">
        <f>'ATT H-2A'!A23</f>
        <v>9</v>
      </c>
      <c r="B20" s="269"/>
      <c r="C20" s="233" t="str">
        <f>'ATT H-2A'!C23</f>
        <v>Accumulated Depreciation (Total Electric Plant)</v>
      </c>
      <c r="D20" s="152"/>
      <c r="E20" s="234"/>
      <c r="F20" s="291" t="str">
        <f>'ATT H-2A'!F23</f>
        <v>Attachment 5</v>
      </c>
      <c r="G20" s="185"/>
      <c r="H20" s="185"/>
      <c r="I20" s="185"/>
      <c r="J20" s="185"/>
      <c r="K20" s="185"/>
      <c r="L20" s="185"/>
      <c r="M20" s="185"/>
      <c r="N20" s="185"/>
      <c r="O20" s="185"/>
      <c r="P20" s="185"/>
      <c r="Q20" s="377"/>
    </row>
    <row r="21" spans="1:17" ht="15.75">
      <c r="A21" s="296">
        <f>'ATT H-2A'!A24</f>
        <v>10</v>
      </c>
      <c r="B21" s="269"/>
      <c r="C21" s="233" t="str">
        <f>'ATT H-2A'!C24</f>
        <v>Accumulated Intangible Amortization</v>
      </c>
      <c r="D21" s="152"/>
      <c r="E21" s="242" t="str">
        <f>'ATT H-2A'!E24</f>
        <v>(Note A)</v>
      </c>
      <c r="F21" s="286" t="str">
        <f>'ATT H-2A'!F24</f>
        <v>p200.21c</v>
      </c>
      <c r="G21" s="229" t="s">
        <v>529</v>
      </c>
      <c r="H21" s="185"/>
      <c r="I21" s="185"/>
      <c r="J21" s="185"/>
      <c r="K21" s="185"/>
      <c r="L21" s="185"/>
      <c r="M21" s="185"/>
      <c r="N21" s="185"/>
      <c r="O21" s="185"/>
      <c r="P21" s="185"/>
      <c r="Q21" s="377"/>
    </row>
    <row r="22" spans="1:17" ht="15.75">
      <c r="A22" s="296">
        <f>'ATT H-2A'!A25</f>
        <v>11</v>
      </c>
      <c r="B22" s="269"/>
      <c r="C22" s="233" t="str">
        <f>'ATT H-2A'!C25</f>
        <v>Accumulated Common Amortization - Electric</v>
      </c>
      <c r="D22" s="152"/>
      <c r="E22" s="242" t="str">
        <f>'ATT H-2A'!E25</f>
        <v>(Note A)</v>
      </c>
      <c r="F22" s="286" t="str">
        <f>'ATT H-2A'!F25</f>
        <v>p356</v>
      </c>
      <c r="G22" s="229" t="s">
        <v>529</v>
      </c>
      <c r="H22" s="185"/>
      <c r="I22" s="185"/>
      <c r="J22" s="185"/>
      <c r="K22" s="185"/>
      <c r="L22" s="185"/>
      <c r="M22" s="185"/>
      <c r="N22" s="185"/>
      <c r="O22" s="185"/>
      <c r="P22" s="185"/>
      <c r="Q22" s="377"/>
    </row>
    <row r="23" spans="1:17" ht="15.75">
      <c r="A23" s="296">
        <f>'ATT H-2A'!A26</f>
        <v>12</v>
      </c>
      <c r="B23" s="152"/>
      <c r="C23" s="243" t="str">
        <f>'ATT H-2A'!C26</f>
        <v>Accumulated Common Plant Depreciation - Electric</v>
      </c>
      <c r="D23" s="152"/>
      <c r="E23" s="242" t="str">
        <f>'ATT H-2A'!E26</f>
        <v>(Note A)</v>
      </c>
      <c r="F23" s="286" t="str">
        <f>'ATT H-2A'!F26</f>
        <v>Attachment 5</v>
      </c>
      <c r="G23" s="229" t="s">
        <v>529</v>
      </c>
      <c r="H23" s="185"/>
      <c r="I23" s="185"/>
      <c r="J23" s="185"/>
      <c r="K23" s="185"/>
      <c r="L23" s="185"/>
      <c r="M23" s="185"/>
      <c r="N23" s="185"/>
      <c r="O23" s="185"/>
      <c r="P23" s="185"/>
      <c r="Q23" s="377"/>
    </row>
    <row r="24" spans="1:17" ht="15.75" hidden="1">
      <c r="A24" s="296">
        <f>'ATT H-2A'!A27</f>
        <v>13</v>
      </c>
      <c r="B24" s="152"/>
      <c r="C24" s="233" t="str">
        <f>'ATT H-2A'!C27</f>
        <v>Total Accumulated Depreciation</v>
      </c>
      <c r="D24" s="152"/>
      <c r="E24" s="234"/>
      <c r="F24" s="286" t="str">
        <f>'ATT H-2A'!F27</f>
        <v>(Sum Lines 9 to 12)</v>
      </c>
      <c r="G24" s="185"/>
      <c r="H24" s="185"/>
      <c r="I24" s="185"/>
      <c r="J24" s="185"/>
      <c r="K24" s="185"/>
      <c r="L24" s="185"/>
      <c r="M24" s="185"/>
      <c r="N24" s="185"/>
      <c r="O24" s="185"/>
      <c r="P24" s="185"/>
      <c r="Q24" s="377"/>
    </row>
    <row r="25" spans="1:17" ht="15.75" hidden="1">
      <c r="A25" s="287"/>
      <c r="B25" s="258"/>
      <c r="C25" s="279"/>
      <c r="D25" s="243"/>
      <c r="E25" s="295"/>
      <c r="F25" s="293"/>
      <c r="G25" s="185"/>
      <c r="H25" s="185"/>
      <c r="I25" s="185"/>
      <c r="J25" s="185"/>
      <c r="K25" s="185"/>
      <c r="L25" s="185"/>
      <c r="M25" s="185"/>
      <c r="N25" s="185"/>
      <c r="O25" s="185"/>
      <c r="P25" s="185"/>
      <c r="Q25" s="377"/>
    </row>
    <row r="26" spans="1:17" ht="15.75" hidden="1">
      <c r="A26" s="287">
        <f>'ATT H-2A'!A29</f>
        <v>14</v>
      </c>
      <c r="B26" s="269"/>
      <c r="C26" s="269" t="str">
        <f>'ATT H-2A'!C29</f>
        <v>Net Plant</v>
      </c>
      <c r="D26" s="269"/>
      <c r="E26" s="234"/>
      <c r="F26" s="286" t="str">
        <f>'ATT H-2A'!F29</f>
        <v>(Line 8 - 13)</v>
      </c>
      <c r="G26" s="185"/>
      <c r="H26" s="185"/>
      <c r="I26" s="185"/>
      <c r="J26" s="185"/>
      <c r="K26" s="185"/>
      <c r="L26" s="185"/>
      <c r="M26" s="185"/>
      <c r="N26" s="185"/>
      <c r="O26" s="185"/>
      <c r="P26" s="185"/>
      <c r="Q26" s="377"/>
    </row>
    <row r="27" spans="1:17" ht="15.75" hidden="1">
      <c r="A27" s="287"/>
      <c r="B27" s="258"/>
      <c r="C27" s="279"/>
      <c r="D27" s="243"/>
      <c r="E27" s="295"/>
      <c r="F27" s="293"/>
      <c r="G27" s="185"/>
      <c r="H27" s="185"/>
      <c r="I27" s="185"/>
      <c r="J27" s="185"/>
      <c r="K27" s="185"/>
      <c r="L27" s="185"/>
      <c r="M27" s="185"/>
      <c r="N27" s="185"/>
      <c r="O27" s="185"/>
      <c r="P27" s="185"/>
      <c r="Q27" s="377"/>
    </row>
    <row r="28" spans="1:17" ht="15.75" hidden="1">
      <c r="A28" s="296">
        <f>'ATT H-2A'!A31</f>
        <v>15</v>
      </c>
      <c r="B28" s="269"/>
      <c r="C28" s="269" t="str">
        <f>'ATT H-2A'!C31</f>
        <v>Transmission Gross Plant</v>
      </c>
      <c r="D28" s="269"/>
      <c r="E28" s="234"/>
      <c r="F28" s="286" t="str">
        <f>'ATT H-2A'!F31</f>
        <v>(Line 29 - Line 28)</v>
      </c>
      <c r="G28" s="185"/>
      <c r="H28" s="185"/>
      <c r="I28" s="185"/>
      <c r="J28" s="185"/>
      <c r="K28" s="185"/>
      <c r="L28" s="185"/>
      <c r="M28" s="185"/>
      <c r="N28" s="185"/>
      <c r="O28" s="185"/>
      <c r="P28" s="185"/>
      <c r="Q28" s="377"/>
    </row>
    <row r="29" spans="1:17" ht="15.75" hidden="1">
      <c r="A29" s="287">
        <f>'ATT H-2A'!A32</f>
        <v>16</v>
      </c>
      <c r="B29" s="318" t="str">
        <f>'ATT H-2A'!B32</f>
        <v>Gross Plant Allocator</v>
      </c>
      <c r="C29" s="318"/>
      <c r="D29" s="269"/>
      <c r="E29" s="234"/>
      <c r="F29" s="286" t="str">
        <f>'ATT H-2A'!F32</f>
        <v>(Line 15 / 8)</v>
      </c>
      <c r="G29" s="185"/>
      <c r="H29" s="185"/>
      <c r="I29" s="185"/>
      <c r="J29" s="185"/>
      <c r="K29" s="185"/>
      <c r="L29" s="185"/>
      <c r="M29" s="185"/>
      <c r="N29" s="185"/>
      <c r="O29" s="185"/>
      <c r="P29" s="185"/>
      <c r="Q29" s="377"/>
    </row>
    <row r="30" spans="1:17" ht="15.75" hidden="1">
      <c r="A30" s="289"/>
      <c r="B30" s="152"/>
      <c r="C30" s="152"/>
      <c r="D30" s="152"/>
      <c r="E30" s="234"/>
      <c r="F30" s="290"/>
      <c r="G30" s="185"/>
      <c r="H30" s="185"/>
      <c r="I30" s="185"/>
      <c r="J30" s="185"/>
      <c r="K30" s="185"/>
      <c r="L30" s="185"/>
      <c r="M30" s="185"/>
      <c r="N30" s="185"/>
      <c r="O30" s="185"/>
      <c r="P30" s="185"/>
      <c r="Q30" s="377"/>
    </row>
    <row r="31" spans="1:17" ht="15.75" hidden="1">
      <c r="A31" s="296">
        <f>'ATT H-2A'!A34</f>
        <v>17</v>
      </c>
      <c r="B31" s="258"/>
      <c r="C31" s="254" t="str">
        <f>'ATT H-2A'!C34</f>
        <v>Transmission Net Plant</v>
      </c>
      <c r="D31" s="243"/>
      <c r="E31" s="295"/>
      <c r="F31" s="286" t="str">
        <f>'ATT H-2A'!F34</f>
        <v>(Line 39 - Line 28)</v>
      </c>
      <c r="G31" s="185"/>
      <c r="H31" s="185"/>
      <c r="I31" s="185"/>
      <c r="J31" s="185"/>
      <c r="K31" s="185"/>
      <c r="L31" s="185"/>
      <c r="M31" s="185"/>
      <c r="N31" s="185"/>
      <c r="O31" s="185"/>
      <c r="P31" s="185"/>
      <c r="Q31" s="377"/>
    </row>
    <row r="32" spans="1:17" ht="15.75" hidden="1">
      <c r="A32" s="287">
        <f>'ATT H-2A'!A35</f>
        <v>18</v>
      </c>
      <c r="B32" s="318" t="str">
        <f>'ATT H-2A'!B35</f>
        <v>Net Plant Allocator</v>
      </c>
      <c r="C32" s="318"/>
      <c r="D32" s="269"/>
      <c r="E32" s="234"/>
      <c r="F32" s="286" t="str">
        <f>'ATT H-2A'!F35</f>
        <v>(Line 17 / 14)</v>
      </c>
      <c r="G32" s="185"/>
      <c r="H32" s="185"/>
      <c r="I32" s="185"/>
      <c r="J32" s="185"/>
      <c r="K32" s="185"/>
      <c r="L32" s="185"/>
      <c r="M32" s="185"/>
      <c r="N32" s="185"/>
      <c r="O32" s="185"/>
      <c r="P32" s="185"/>
      <c r="Q32" s="377"/>
    </row>
    <row r="33" spans="1:17" ht="15.75" hidden="1">
      <c r="A33" s="298"/>
      <c r="B33" s="258"/>
      <c r="C33" s="279"/>
      <c r="D33" s="243"/>
      <c r="E33" s="295"/>
      <c r="F33" s="293"/>
      <c r="G33" s="185"/>
      <c r="H33" s="185"/>
      <c r="I33" s="185"/>
      <c r="J33" s="185"/>
      <c r="K33" s="185"/>
      <c r="L33" s="185"/>
      <c r="M33" s="185"/>
      <c r="N33" s="185"/>
      <c r="O33" s="185"/>
      <c r="P33" s="185"/>
      <c r="Q33" s="377"/>
    </row>
    <row r="34" spans="1:17" ht="15.75" hidden="1">
      <c r="A34" s="299" t="str">
        <f>'ATT H-2A'!A37</f>
        <v>Plant Calculations</v>
      </c>
      <c r="B34" s="244"/>
      <c r="C34" s="245"/>
      <c r="D34" s="245"/>
      <c r="E34" s="246"/>
      <c r="F34" s="300"/>
      <c r="G34" s="185"/>
      <c r="H34" s="185"/>
      <c r="I34" s="185"/>
      <c r="J34" s="185"/>
      <c r="K34" s="185"/>
      <c r="L34" s="185"/>
      <c r="M34" s="185"/>
      <c r="N34" s="185"/>
      <c r="O34" s="185"/>
      <c r="P34" s="185"/>
      <c r="Q34" s="377"/>
    </row>
    <row r="35" spans="1:17" ht="15.75" hidden="1">
      <c r="A35" s="301">
        <f>'ATT H-2A'!A38</f>
        <v>0</v>
      </c>
      <c r="B35" s="247"/>
      <c r="C35" s="243"/>
      <c r="D35" s="243"/>
      <c r="E35" s="248"/>
      <c r="F35" s="291"/>
      <c r="G35" s="185"/>
      <c r="H35" s="185"/>
      <c r="I35" s="185"/>
      <c r="J35" s="185"/>
      <c r="K35" s="185"/>
      <c r="L35" s="185"/>
      <c r="M35" s="185"/>
      <c r="N35" s="185"/>
      <c r="O35" s="185"/>
      <c r="P35" s="185"/>
      <c r="Q35" s="377"/>
    </row>
    <row r="36" spans="1:17" ht="15.75">
      <c r="A36" s="289"/>
      <c r="B36" s="279" t="str">
        <f>'ATT H-2A'!B39</f>
        <v>Plant In Service</v>
      </c>
      <c r="C36" s="152"/>
      <c r="D36" s="152"/>
      <c r="E36" s="295"/>
      <c r="F36" s="297"/>
      <c r="G36" s="185"/>
      <c r="H36" s="185"/>
      <c r="I36" s="185"/>
      <c r="J36" s="185"/>
      <c r="K36" s="185"/>
      <c r="L36" s="185"/>
      <c r="M36" s="185"/>
      <c r="N36" s="185"/>
      <c r="O36" s="185"/>
      <c r="P36" s="185"/>
      <c r="Q36" s="377"/>
    </row>
    <row r="37" spans="1:17" ht="15.75">
      <c r="A37" s="296">
        <f>'ATT H-2A'!A40</f>
        <v>19</v>
      </c>
      <c r="B37" s="258"/>
      <c r="C37" s="265" t="str">
        <f>'ATT H-2A'!C40</f>
        <v>Transmission Plant In Service</v>
      </c>
      <c r="D37" s="152"/>
      <c r="E37" s="242">
        <f>'ATT H-2A'!E40</f>
        <v>0</v>
      </c>
      <c r="F37" s="297" t="str">
        <f>'ATT H-2A'!F40</f>
        <v>Attachment 5</v>
      </c>
      <c r="G37" s="185"/>
      <c r="H37" s="229" t="s">
        <v>529</v>
      </c>
      <c r="I37" s="185"/>
      <c r="J37" s="185"/>
      <c r="K37" s="185"/>
      <c r="L37" s="185"/>
      <c r="M37" s="185"/>
      <c r="N37" s="185"/>
      <c r="O37" s="185"/>
      <c r="P37" s="185"/>
      <c r="Q37" s="377"/>
    </row>
    <row r="38" spans="1:17" ht="15.75">
      <c r="A38" s="296">
        <f>'ATT H-2A'!A42</f>
        <v>21</v>
      </c>
      <c r="B38" s="258"/>
      <c r="C38" s="250" t="str">
        <f>'ATT H-2A'!C42</f>
        <v>New Transmission Plant Additions for Current Calendar Year  (weighted by months in service)</v>
      </c>
      <c r="D38" s="152"/>
      <c r="E38" s="242" t="str">
        <f>'ATT H-2A'!F42</f>
        <v>Attachment 6</v>
      </c>
      <c r="F38" s="297"/>
      <c r="G38" s="185"/>
      <c r="H38" s="229" t="s">
        <v>529</v>
      </c>
      <c r="I38" s="185"/>
      <c r="J38" s="185"/>
      <c r="K38" s="185"/>
      <c r="L38" s="185"/>
      <c r="M38" s="185"/>
      <c r="N38" s="185"/>
      <c r="O38" s="185"/>
      <c r="P38" s="185"/>
      <c r="Q38" s="377"/>
    </row>
    <row r="39" spans="1:17" ht="15.75" hidden="1">
      <c r="A39" s="296">
        <f>'ATT H-2A'!A45</f>
        <v>23</v>
      </c>
      <c r="B39" s="258"/>
      <c r="C39" s="250" t="str">
        <f>'ATT H-2A'!C45</f>
        <v>General &amp; Intangible</v>
      </c>
      <c r="D39" s="152"/>
      <c r="E39" s="234"/>
      <c r="F39" s="297" t="str">
        <f>'ATT H-2A'!F45</f>
        <v>Attachment 5</v>
      </c>
      <c r="G39" s="185"/>
      <c r="H39" s="185"/>
      <c r="I39" s="185"/>
      <c r="J39" s="185"/>
      <c r="K39" s="185"/>
      <c r="L39" s="185"/>
      <c r="M39" s="185"/>
      <c r="N39" s="185"/>
      <c r="O39" s="185"/>
      <c r="P39" s="185"/>
      <c r="Q39" s="377"/>
    </row>
    <row r="40" spans="1:17" ht="15.75">
      <c r="A40" s="296">
        <f>'ATT H-2A'!A46</f>
        <v>24</v>
      </c>
      <c r="B40" s="258"/>
      <c r="C40" s="250" t="str">
        <f>'ATT H-2A'!C46</f>
        <v>Common Plant (Electric Only)</v>
      </c>
      <c r="D40" s="152"/>
      <c r="E40" s="242" t="str">
        <f>'ATT H-2A'!E46</f>
        <v>(Notes A)</v>
      </c>
      <c r="F40" s="297" t="str">
        <f>'ATT H-2A'!F46</f>
        <v>Attachment 5</v>
      </c>
      <c r="G40" s="229" t="s">
        <v>529</v>
      </c>
      <c r="H40" s="229" t="s">
        <v>529</v>
      </c>
      <c r="I40" s="185"/>
      <c r="J40" s="185"/>
      <c r="K40" s="185"/>
      <c r="L40" s="185"/>
      <c r="M40" s="185"/>
      <c r="N40" s="185"/>
      <c r="O40" s="185"/>
      <c r="P40" s="185"/>
      <c r="Q40" s="377"/>
    </row>
    <row r="41" spans="1:17" ht="15.75" hidden="1">
      <c r="A41" s="296">
        <f>'ATT H-2A'!A47</f>
        <v>25</v>
      </c>
      <c r="B41" s="258"/>
      <c r="C41" s="250" t="str">
        <f>'ATT H-2A'!C47</f>
        <v>Total General &amp; Common</v>
      </c>
      <c r="D41" s="152"/>
      <c r="E41" s="234"/>
      <c r="F41" s="286" t="str">
        <f>'ATT H-2A'!F47</f>
        <v>(Line 23 + 24)</v>
      </c>
      <c r="G41" s="185"/>
      <c r="H41" s="185"/>
      <c r="I41" s="185"/>
      <c r="J41" s="185"/>
      <c r="K41" s="185"/>
      <c r="L41" s="185"/>
      <c r="M41" s="185"/>
      <c r="N41" s="185"/>
      <c r="O41" s="185"/>
      <c r="P41" s="185"/>
      <c r="Q41" s="377"/>
    </row>
    <row r="42" spans="1:17" ht="15.75" hidden="1">
      <c r="A42" s="296">
        <f>'ATT H-2A'!A48</f>
        <v>26</v>
      </c>
      <c r="B42" s="258"/>
      <c r="C42" s="260" t="str">
        <f>'ATT H-2A'!C48</f>
        <v>Wage &amp; Salary Allocation Factor</v>
      </c>
      <c r="D42" s="254"/>
      <c r="E42" s="295"/>
      <c r="F42" s="286" t="str">
        <f>'ATT H-2A'!F48</f>
        <v>(Line 5)</v>
      </c>
      <c r="G42" s="185"/>
      <c r="H42" s="185"/>
      <c r="I42" s="185"/>
      <c r="J42" s="185"/>
      <c r="K42" s="185"/>
      <c r="L42" s="185"/>
      <c r="M42" s="185"/>
      <c r="N42" s="185"/>
      <c r="O42" s="185"/>
      <c r="P42" s="185"/>
      <c r="Q42" s="377"/>
    </row>
    <row r="43" spans="1:17" ht="15.75" hidden="1">
      <c r="A43" s="296">
        <f>'ATT H-2A'!A49</f>
        <v>27</v>
      </c>
      <c r="B43" s="269"/>
      <c r="C43" s="279" t="str">
        <f>'ATT H-2A'!C49</f>
        <v>General &amp; Common Plant Allocated to Transmission</v>
      </c>
      <c r="D43" s="233"/>
      <c r="E43" s="251"/>
      <c r="F43" s="286" t="str">
        <f>'ATT H-2A'!F49</f>
        <v>(Line 25 * 26)</v>
      </c>
      <c r="G43" s="185"/>
      <c r="H43" s="185"/>
      <c r="I43" s="185"/>
      <c r="J43" s="185"/>
      <c r="K43" s="185"/>
      <c r="L43" s="185"/>
      <c r="M43" s="185"/>
      <c r="N43" s="185"/>
      <c r="O43" s="185"/>
      <c r="P43" s="185"/>
      <c r="Q43" s="377"/>
    </row>
    <row r="44" spans="1:17" ht="15.75" hidden="1">
      <c r="A44" s="287"/>
      <c r="B44" s="258"/>
      <c r="C44" s="279"/>
      <c r="D44" s="243"/>
      <c r="E44" s="295"/>
      <c r="F44" s="293"/>
      <c r="G44" s="185"/>
      <c r="H44" s="185"/>
      <c r="I44" s="185"/>
      <c r="J44" s="185"/>
      <c r="K44" s="185"/>
      <c r="L44" s="185"/>
      <c r="M44" s="185"/>
      <c r="N44" s="185"/>
      <c r="O44" s="185"/>
      <c r="P44" s="185"/>
      <c r="Q44" s="377"/>
    </row>
    <row r="45" spans="1:17" ht="15.75">
      <c r="A45" s="296">
        <f>'ATT H-2A'!A51</f>
        <v>28</v>
      </c>
      <c r="B45" s="258"/>
      <c r="C45" s="279" t="str">
        <f>'ATT H-2A'!C51</f>
        <v>Plant Held for Future Use (Including Land)</v>
      </c>
      <c r="D45" s="336"/>
      <c r="E45" s="256" t="str">
        <f>'ATT H-2A'!E51</f>
        <v>(Note C)</v>
      </c>
      <c r="F45" s="286" t="str">
        <f>'ATT H-2A'!F51</f>
        <v>Attachment 5</v>
      </c>
      <c r="G45" s="185"/>
      <c r="H45" s="185"/>
      <c r="I45" s="229" t="s">
        <v>529</v>
      </c>
      <c r="J45" s="185"/>
      <c r="K45" s="185"/>
      <c r="L45" s="185"/>
      <c r="M45" s="185"/>
      <c r="N45" s="185"/>
      <c r="O45" s="185"/>
      <c r="P45" s="185"/>
      <c r="Q45" s="377"/>
    </row>
    <row r="46" spans="1:17" ht="15.75" hidden="1">
      <c r="A46" s="287"/>
      <c r="B46" s="258"/>
      <c r="C46" s="279"/>
      <c r="D46" s="243"/>
      <c r="E46" s="295"/>
      <c r="F46" s="293"/>
      <c r="G46" s="185"/>
      <c r="H46" s="185"/>
      <c r="I46" s="185"/>
      <c r="J46" s="185"/>
      <c r="K46" s="185"/>
      <c r="L46" s="185"/>
      <c r="M46" s="185"/>
      <c r="N46" s="185"/>
      <c r="O46" s="185"/>
      <c r="P46" s="185"/>
      <c r="Q46" s="377"/>
    </row>
    <row r="47" spans="1:17" ht="15.75" hidden="1">
      <c r="A47" s="296">
        <f>'ATT H-2A'!A53</f>
        <v>29</v>
      </c>
      <c r="B47" s="318" t="str">
        <f>'ATT H-2A'!B53</f>
        <v>TOTAL Plant In Service</v>
      </c>
      <c r="C47" s="318"/>
      <c r="D47" s="318"/>
      <c r="E47" s="267"/>
      <c r="F47" s="331" t="str">
        <f>'ATT H-2A'!F53</f>
        <v>(Line 22 + 27 + 28)</v>
      </c>
      <c r="G47" s="185"/>
      <c r="H47" s="185"/>
      <c r="I47" s="185"/>
      <c r="J47" s="185"/>
      <c r="K47" s="185"/>
      <c r="L47" s="185"/>
      <c r="M47" s="185"/>
      <c r="N47" s="185"/>
      <c r="O47" s="185"/>
      <c r="P47" s="185"/>
      <c r="Q47" s="377"/>
    </row>
    <row r="48" spans="1:17" ht="15.75" hidden="1">
      <c r="A48" s="287"/>
      <c r="B48" s="258"/>
      <c r="C48" s="279"/>
      <c r="D48" s="243"/>
      <c r="E48" s="295"/>
      <c r="F48" s="293"/>
      <c r="G48" s="185"/>
      <c r="H48" s="185"/>
      <c r="I48" s="185"/>
      <c r="J48" s="185"/>
      <c r="K48" s="185"/>
      <c r="L48" s="185"/>
      <c r="M48" s="185"/>
      <c r="N48" s="185"/>
      <c r="O48" s="185"/>
      <c r="P48" s="185"/>
      <c r="Q48" s="377"/>
    </row>
    <row r="49" spans="1:17" ht="15.75">
      <c r="A49" s="296"/>
      <c r="B49" s="279" t="str">
        <f>'ATT H-2A'!B55</f>
        <v>Accumulated Depreciation</v>
      </c>
      <c r="C49" s="279"/>
      <c r="D49" s="253"/>
      <c r="E49" s="251"/>
      <c r="F49" s="286"/>
      <c r="G49" s="185"/>
      <c r="H49" s="185"/>
      <c r="I49" s="185"/>
      <c r="J49" s="185"/>
      <c r="K49" s="185"/>
      <c r="L49" s="185"/>
      <c r="M49" s="185"/>
      <c r="N49" s="185"/>
      <c r="O49" s="185"/>
      <c r="P49" s="185"/>
      <c r="Q49" s="377"/>
    </row>
    <row r="50" spans="1:17" ht="15.75" hidden="1">
      <c r="A50" s="287"/>
      <c r="B50" s="258"/>
      <c r="C50" s="279"/>
      <c r="D50" s="243"/>
      <c r="E50" s="295"/>
      <c r="F50" s="293"/>
      <c r="G50" s="185"/>
      <c r="H50" s="185"/>
      <c r="I50" s="185"/>
      <c r="J50" s="185"/>
      <c r="K50" s="185"/>
      <c r="L50" s="185"/>
      <c r="M50" s="185"/>
      <c r="N50" s="185"/>
      <c r="O50" s="185"/>
      <c r="P50" s="185"/>
      <c r="Q50" s="377"/>
    </row>
    <row r="51" spans="1:17" ht="15.75" hidden="1">
      <c r="A51" s="296">
        <f>'ATT H-2A'!A57</f>
        <v>30</v>
      </c>
      <c r="B51" s="258"/>
      <c r="C51" s="265" t="str">
        <f>'ATT H-2A'!C57</f>
        <v>Transmission Accumulated Depreciation</v>
      </c>
      <c r="D51" s="152"/>
      <c r="E51" s="234"/>
      <c r="F51" s="297" t="str">
        <f>'ATT H-2A'!F57</f>
        <v>Attachment 5</v>
      </c>
      <c r="G51" s="185"/>
      <c r="H51" s="185"/>
      <c r="I51" s="185"/>
      <c r="J51" s="185"/>
      <c r="K51" s="185"/>
      <c r="L51" s="185"/>
      <c r="M51" s="185"/>
      <c r="N51" s="185"/>
      <c r="O51" s="185"/>
      <c r="P51" s="185"/>
      <c r="Q51" s="377"/>
    </row>
    <row r="52" spans="1:17" ht="15.75">
      <c r="A52" s="296">
        <f>'ATT H-2A'!A57</f>
        <v>30</v>
      </c>
      <c r="B52" s="258"/>
      <c r="C52" s="250" t="str">
        <f>'ATT H-2A'!C57</f>
        <v>Transmission Accumulated Depreciation</v>
      </c>
      <c r="D52" s="152"/>
      <c r="E52" s="340">
        <f>'ATT H-2A'!E57</f>
        <v>0</v>
      </c>
      <c r="F52" s="326" t="str">
        <f>'ATT H-2A'!F57</f>
        <v>Attachment 5</v>
      </c>
      <c r="G52" s="185"/>
      <c r="H52" s="229" t="s">
        <v>529</v>
      </c>
      <c r="I52" s="185"/>
      <c r="J52" s="185"/>
      <c r="K52" s="185"/>
      <c r="L52" s="185"/>
      <c r="M52" s="185"/>
      <c r="N52" s="185"/>
      <c r="O52" s="185"/>
      <c r="P52" s="185"/>
      <c r="Q52" s="377"/>
    </row>
    <row r="53" spans="1:17" ht="15.75" hidden="1">
      <c r="A53" s="296">
        <f>'ATT H-2A'!A59</f>
        <v>31</v>
      </c>
      <c r="B53" s="258"/>
      <c r="C53" s="250" t="str">
        <f>'ATT H-2A'!C59</f>
        <v>Accumulated General Depreciation</v>
      </c>
      <c r="D53" s="152"/>
      <c r="E53" s="234"/>
      <c r="F53" s="297" t="str">
        <f>'ATT H-2A'!F59</f>
        <v>Attachment 5</v>
      </c>
      <c r="G53" s="185"/>
      <c r="H53" s="185"/>
      <c r="I53" s="185"/>
      <c r="J53" s="185"/>
      <c r="K53" s="185"/>
      <c r="L53" s="185"/>
      <c r="M53" s="185"/>
      <c r="N53" s="185"/>
      <c r="O53" s="185"/>
      <c r="P53" s="185"/>
      <c r="Q53" s="377"/>
    </row>
    <row r="54" spans="1:17" ht="15.75" hidden="1">
      <c r="A54" s="296">
        <f>'ATT H-2A'!A60</f>
        <v>32</v>
      </c>
      <c r="B54" s="258"/>
      <c r="C54" s="250" t="str">
        <f>'ATT H-2A'!C60</f>
        <v>Accumulated Intangible Amortization</v>
      </c>
      <c r="D54" s="152"/>
      <c r="E54" s="234"/>
      <c r="F54" s="286" t="str">
        <f>'ATT H-2A'!F60</f>
        <v>Attachment 5</v>
      </c>
      <c r="G54" s="185"/>
      <c r="H54" s="185"/>
      <c r="I54" s="185"/>
      <c r="J54" s="185"/>
      <c r="K54" s="185"/>
      <c r="L54" s="185"/>
      <c r="M54" s="185"/>
      <c r="N54" s="185"/>
      <c r="O54" s="185"/>
      <c r="P54" s="185"/>
      <c r="Q54" s="377"/>
    </row>
    <row r="55" spans="1:17" ht="15.75">
      <c r="A55" s="296">
        <f>'ATT H-2A'!A61</f>
        <v>33</v>
      </c>
      <c r="B55" s="258"/>
      <c r="C55" s="250" t="str">
        <f>'ATT H-2A'!C61</f>
        <v>Accumulated Common Amortization - Electric</v>
      </c>
      <c r="D55" s="152"/>
      <c r="E55" s="242">
        <f>'ATT H-2A'!E61</f>
        <v>0</v>
      </c>
      <c r="F55" s="286" t="str">
        <f>'ATT H-2A'!F61</f>
        <v>(Line 11)</v>
      </c>
      <c r="G55" s="229" t="s">
        <v>529</v>
      </c>
      <c r="H55" s="185"/>
      <c r="I55" s="185"/>
      <c r="J55" s="185"/>
      <c r="K55" s="185"/>
      <c r="L55" s="185"/>
      <c r="M55" s="185"/>
      <c r="N55" s="185"/>
      <c r="O55" s="185"/>
      <c r="P55" s="185"/>
      <c r="Q55" s="377"/>
    </row>
    <row r="56" spans="1:17" ht="15.75">
      <c r="A56" s="296">
        <f>'ATT H-2A'!A62</f>
        <v>34</v>
      </c>
      <c r="B56" s="258"/>
      <c r="C56" s="250" t="str">
        <f>'ATT H-2A'!C62</f>
        <v>Common Plant Accumulated Depreciation (Electric Only)</v>
      </c>
      <c r="D56" s="152"/>
      <c r="E56" s="242" t="str">
        <f>'ATT H-2A'!E62</f>
        <v>(Notes A)</v>
      </c>
      <c r="F56" s="286" t="str">
        <f>'ATT H-2A'!F62</f>
        <v>(Line 12)</v>
      </c>
      <c r="G56" s="229" t="s">
        <v>529</v>
      </c>
      <c r="H56" s="185"/>
      <c r="I56" s="185"/>
      <c r="J56" s="185"/>
      <c r="K56" s="185"/>
      <c r="L56" s="185"/>
      <c r="M56" s="185"/>
      <c r="N56" s="185"/>
      <c r="O56" s="185"/>
      <c r="P56" s="185"/>
      <c r="Q56" s="377"/>
    </row>
    <row r="57" spans="1:17" ht="15.75" hidden="1">
      <c r="A57" s="296">
        <f>'ATT H-2A'!A63</f>
        <v>35</v>
      </c>
      <c r="B57" s="258"/>
      <c r="C57" s="250" t="str">
        <f>'ATT H-2A'!C63</f>
        <v>Total Accumulated Depreciation</v>
      </c>
      <c r="D57" s="152"/>
      <c r="E57" s="251"/>
      <c r="F57" s="286" t="str">
        <f>'ATT H-2A'!F63</f>
        <v>(Sum Lines 31 to 34)</v>
      </c>
      <c r="G57" s="185"/>
      <c r="H57" s="185"/>
      <c r="I57" s="185"/>
      <c r="J57" s="185"/>
      <c r="K57" s="185"/>
      <c r="L57" s="185"/>
      <c r="M57" s="185"/>
      <c r="N57" s="185"/>
      <c r="O57" s="185"/>
      <c r="P57" s="185"/>
      <c r="Q57" s="377"/>
    </row>
    <row r="58" spans="1:17" ht="15.75" hidden="1">
      <c r="A58" s="296">
        <f>'ATT H-2A'!A64</f>
        <v>36</v>
      </c>
      <c r="B58" s="258"/>
      <c r="C58" s="250" t="str">
        <f>'ATT H-2A'!C64</f>
        <v>Wage &amp; Salary Allocation Factor</v>
      </c>
      <c r="D58" s="152"/>
      <c r="E58" s="251"/>
      <c r="F58" s="286" t="str">
        <f>'ATT H-2A'!F64</f>
        <v>(Line 5)</v>
      </c>
      <c r="G58" s="185"/>
      <c r="H58" s="185"/>
      <c r="I58" s="185"/>
      <c r="J58" s="185"/>
      <c r="K58" s="185"/>
      <c r="L58" s="185"/>
      <c r="M58" s="185"/>
      <c r="N58" s="185"/>
      <c r="O58" s="185"/>
      <c r="P58" s="185"/>
      <c r="Q58" s="377"/>
    </row>
    <row r="59" spans="1:17" ht="15.75" hidden="1">
      <c r="A59" s="296">
        <f>'ATT H-2A'!A65</f>
        <v>37</v>
      </c>
      <c r="B59" s="269"/>
      <c r="C59" s="265" t="str">
        <f>'ATT H-2A'!C65</f>
        <v>General &amp; Common Allocated to Transmission</v>
      </c>
      <c r="D59" s="269"/>
      <c r="E59" s="234"/>
      <c r="F59" s="286" t="str">
        <f>'ATT H-2A'!F65</f>
        <v>(Line 35 * 36)</v>
      </c>
      <c r="G59" s="185"/>
      <c r="H59" s="185"/>
      <c r="I59" s="185"/>
      <c r="J59" s="185"/>
      <c r="K59" s="185"/>
      <c r="L59" s="185"/>
      <c r="M59" s="185"/>
      <c r="N59" s="185"/>
      <c r="O59" s="185"/>
      <c r="P59" s="185"/>
      <c r="Q59" s="377"/>
    </row>
    <row r="60" spans="1:17" ht="15.75" hidden="1">
      <c r="A60" s="287"/>
      <c r="B60" s="258"/>
      <c r="C60" s="279"/>
      <c r="D60" s="243"/>
      <c r="E60" s="295"/>
      <c r="F60" s="293"/>
      <c r="G60" s="185"/>
      <c r="H60" s="185"/>
      <c r="I60" s="185"/>
      <c r="J60" s="185"/>
      <c r="K60" s="185"/>
      <c r="L60" s="185"/>
      <c r="M60" s="185"/>
      <c r="N60" s="185"/>
      <c r="O60" s="185"/>
      <c r="P60" s="185"/>
      <c r="Q60" s="377"/>
    </row>
    <row r="61" spans="1:17" ht="15.75" hidden="1">
      <c r="A61" s="296">
        <f>'ATT H-2A'!A67</f>
        <v>38</v>
      </c>
      <c r="B61" s="318" t="str">
        <f>'ATT H-2A'!B67</f>
        <v>TOTAL Accumulated Depreciation</v>
      </c>
      <c r="C61" s="318"/>
      <c r="D61" s="318"/>
      <c r="E61" s="267"/>
      <c r="F61" s="331" t="str">
        <f>'ATT H-2A'!F67</f>
        <v>(Line 30 + 37)</v>
      </c>
      <c r="G61" s="185"/>
      <c r="H61" s="185"/>
      <c r="I61" s="185"/>
      <c r="J61" s="185"/>
      <c r="K61" s="185"/>
      <c r="L61" s="185"/>
      <c r="M61" s="185"/>
      <c r="N61" s="185"/>
      <c r="O61" s="185"/>
      <c r="P61" s="185"/>
      <c r="Q61" s="377"/>
    </row>
    <row r="62" spans="1:17" ht="15.75" hidden="1">
      <c r="A62" s="287"/>
      <c r="B62" s="258"/>
      <c r="C62" s="279"/>
      <c r="D62" s="243"/>
      <c r="E62" s="295"/>
      <c r="F62" s="293"/>
      <c r="G62" s="185"/>
      <c r="H62" s="185"/>
      <c r="I62" s="185"/>
      <c r="J62" s="185"/>
      <c r="K62" s="185"/>
      <c r="L62" s="185"/>
      <c r="M62" s="185"/>
      <c r="N62" s="185"/>
      <c r="O62" s="185"/>
      <c r="P62" s="185"/>
      <c r="Q62" s="377"/>
    </row>
    <row r="63" spans="1:17" ht="15.75" hidden="1">
      <c r="A63" s="296">
        <f>'ATT H-2A'!A69</f>
        <v>39</v>
      </c>
      <c r="B63" s="318" t="str">
        <f>'ATT H-2A'!B69</f>
        <v>TOTAL Net Property, Plant &amp; Equipment</v>
      </c>
      <c r="C63" s="318"/>
      <c r="D63" s="318"/>
      <c r="E63" s="267"/>
      <c r="F63" s="331" t="str">
        <f>'ATT H-2A'!F69</f>
        <v>(Line 29 - 38)</v>
      </c>
      <c r="G63" s="185"/>
      <c r="H63" s="185"/>
      <c r="I63" s="185"/>
      <c r="J63" s="185"/>
      <c r="K63" s="185"/>
      <c r="L63" s="185"/>
      <c r="M63" s="185"/>
      <c r="N63" s="185"/>
      <c r="O63" s="185"/>
      <c r="P63" s="185"/>
      <c r="Q63" s="377"/>
    </row>
    <row r="64" spans="1:17" ht="15.75" hidden="1">
      <c r="A64" s="287"/>
      <c r="B64" s="258"/>
      <c r="C64" s="279"/>
      <c r="D64" s="243"/>
      <c r="E64" s="295"/>
      <c r="F64" s="293"/>
      <c r="G64" s="185"/>
      <c r="H64" s="185"/>
      <c r="I64" s="185"/>
      <c r="J64" s="185"/>
      <c r="K64" s="185"/>
      <c r="L64" s="185"/>
      <c r="M64" s="185"/>
      <c r="N64" s="185"/>
      <c r="O64" s="185"/>
      <c r="P64" s="185"/>
      <c r="Q64" s="377"/>
    </row>
    <row r="65" spans="1:17" ht="15.75" hidden="1">
      <c r="A65" s="299" t="str">
        <f>'ATT H-2A'!A71</f>
        <v>Adjustment To Rate Base</v>
      </c>
      <c r="B65" s="245"/>
      <c r="C65" s="245"/>
      <c r="D65" s="245"/>
      <c r="E65" s="246"/>
      <c r="F65" s="300"/>
      <c r="G65" s="185"/>
      <c r="H65" s="185"/>
      <c r="I65" s="185"/>
      <c r="J65" s="185"/>
      <c r="K65" s="185"/>
      <c r="L65" s="185"/>
      <c r="M65" s="185"/>
      <c r="N65" s="185"/>
      <c r="O65" s="185"/>
      <c r="P65" s="185"/>
      <c r="Q65" s="377"/>
    </row>
    <row r="66" spans="1:17" ht="15.75" hidden="1">
      <c r="A66" s="287"/>
      <c r="B66" s="258"/>
      <c r="C66" s="279"/>
      <c r="D66" s="243"/>
      <c r="E66" s="295"/>
      <c r="F66" s="293"/>
      <c r="G66" s="185"/>
      <c r="H66" s="185"/>
      <c r="I66" s="185"/>
      <c r="J66" s="185"/>
      <c r="K66" s="185"/>
      <c r="L66" s="185"/>
      <c r="M66" s="185"/>
      <c r="N66" s="185"/>
      <c r="O66" s="185"/>
      <c r="P66" s="185"/>
      <c r="Q66" s="377"/>
    </row>
    <row r="67" spans="1:17" ht="15.75">
      <c r="A67" s="302"/>
      <c r="B67" s="252" t="str">
        <f>'ATT H-2A'!B73</f>
        <v>Accumulated Deferred Income Taxes</v>
      </c>
      <c r="C67" s="152"/>
      <c r="D67" s="233"/>
      <c r="E67" s="303"/>
      <c r="F67" s="290"/>
      <c r="G67" s="185"/>
      <c r="H67" s="185"/>
      <c r="I67" s="185"/>
      <c r="J67" s="185"/>
      <c r="K67" s="185"/>
      <c r="L67" s="185"/>
      <c r="M67" s="185"/>
      <c r="N67" s="185"/>
      <c r="O67" s="185"/>
      <c r="P67" s="185"/>
      <c r="Q67" s="377"/>
    </row>
    <row r="68" spans="1:17" ht="15.75" hidden="1">
      <c r="A68" s="302">
        <f>'ATT H-2A'!A74</f>
        <v>40</v>
      </c>
      <c r="B68" s="252"/>
      <c r="C68" s="152" t="str">
        <f>'ATT H-2A'!C74</f>
        <v>ADIT net of FASB 106 and 109</v>
      </c>
      <c r="D68" s="233"/>
      <c r="E68" s="234"/>
      <c r="F68" s="304" t="str">
        <f>'ATT H-2A'!F74</f>
        <v>Attachment 1</v>
      </c>
      <c r="G68" s="185"/>
      <c r="H68" s="185"/>
      <c r="I68" s="185"/>
      <c r="J68" s="185"/>
      <c r="K68" s="185"/>
      <c r="L68" s="185"/>
      <c r="M68" s="185"/>
      <c r="N68" s="185"/>
      <c r="O68" s="185"/>
      <c r="P68" s="185"/>
      <c r="Q68" s="377"/>
    </row>
    <row r="69" spans="1:17" ht="15.75" hidden="1">
      <c r="A69" s="296" t="e">
        <f>'ATT H-2A'!#REF!</f>
        <v>#REF!</v>
      </c>
      <c r="B69" s="233"/>
      <c r="C69" s="254" t="e">
        <f>'ATT H-2A'!#REF!</f>
        <v>#REF!</v>
      </c>
      <c r="D69" s="305"/>
      <c r="E69" s="306"/>
      <c r="F69" s="297" t="e">
        <f>'ATT H-2A'!#REF!</f>
        <v>#REF!</v>
      </c>
      <c r="G69" s="185"/>
      <c r="H69" s="185"/>
      <c r="I69" s="185"/>
      <c r="J69" s="185"/>
      <c r="K69" s="185"/>
      <c r="L69" s="185"/>
      <c r="M69" s="185"/>
      <c r="N69" s="185"/>
      <c r="O69" s="185"/>
      <c r="P69" s="185"/>
      <c r="Q69" s="377"/>
    </row>
    <row r="70" spans="1:17" ht="15.75" hidden="1">
      <c r="A70" s="296" t="e">
        <f>'ATT H-2A'!#REF!</f>
        <v>#REF!</v>
      </c>
      <c r="B70" s="233"/>
      <c r="C70" s="254" t="e">
        <f>'ATT H-2A'!#REF!</f>
        <v>#REF!</v>
      </c>
      <c r="D70" s="305"/>
      <c r="E70" s="306"/>
      <c r="F70" s="297" t="e">
        <f>'ATT H-2A'!#REF!</f>
        <v>#REF!</v>
      </c>
      <c r="G70" s="185"/>
      <c r="H70" s="185"/>
      <c r="I70" s="185"/>
      <c r="J70" s="185"/>
      <c r="K70" s="185"/>
      <c r="L70" s="185"/>
      <c r="M70" s="185"/>
      <c r="N70" s="185"/>
      <c r="O70" s="185"/>
      <c r="P70" s="185"/>
      <c r="Q70" s="377"/>
    </row>
    <row r="71" spans="1:17" ht="15.75">
      <c r="A71" s="296">
        <f>'ATT H-2A'!A75</f>
        <v>41</v>
      </c>
      <c r="B71" s="277"/>
      <c r="C71" s="277" t="str">
        <f>'ATT H-2A'!C75</f>
        <v>Accumulated Investment Tax Credit Account No. 255</v>
      </c>
      <c r="D71" s="277"/>
      <c r="E71" s="325" t="str">
        <f>'ATT H-2A'!E75</f>
        <v>(Notes A &amp; I)</v>
      </c>
      <c r="F71" s="297" t="str">
        <f>'ATT H-2A'!F75</f>
        <v>p266.h</v>
      </c>
      <c r="G71" s="229" t="s">
        <v>529</v>
      </c>
      <c r="H71" s="185"/>
      <c r="I71" s="185"/>
      <c r="J71" s="185"/>
      <c r="K71" s="185"/>
      <c r="L71" s="185"/>
      <c r="M71" s="229" t="s">
        <v>529</v>
      </c>
      <c r="N71" s="185"/>
      <c r="O71" s="185"/>
      <c r="P71" s="185"/>
      <c r="Q71" s="377"/>
    </row>
    <row r="72" spans="1:17" ht="15.75" hidden="1">
      <c r="A72" s="296">
        <f>'ATT H-2A'!A76</f>
        <v>42</v>
      </c>
      <c r="B72" s="233"/>
      <c r="C72" s="260" t="s">
        <v>632</v>
      </c>
      <c r="D72" s="233"/>
      <c r="E72" s="264"/>
      <c r="F72" s="297" t="str">
        <f>'ATT H-2A'!F76</f>
        <v>(Line 18)</v>
      </c>
      <c r="G72" s="185"/>
      <c r="H72" s="185"/>
      <c r="I72" s="185"/>
      <c r="J72" s="185"/>
      <c r="K72" s="185"/>
      <c r="L72" s="185"/>
      <c r="M72" s="185"/>
      <c r="N72" s="185"/>
      <c r="O72" s="185"/>
      <c r="P72" s="185"/>
      <c r="Q72" s="377"/>
    </row>
    <row r="73" spans="1:17" ht="15.75" hidden="1">
      <c r="A73" s="307">
        <f>'ATT H-2A'!A77</f>
        <v>43</v>
      </c>
      <c r="B73" s="233"/>
      <c r="C73" s="252" t="str">
        <f>'ATT H-2A'!C77</f>
        <v>Accumulated Deferred Income Taxes Allocated To Transmission</v>
      </c>
      <c r="D73" s="233"/>
      <c r="E73" s="264"/>
      <c r="F73" s="297" t="str">
        <f>'ATT H-2A'!F77</f>
        <v>(Line 41 * 42) + Line 40</v>
      </c>
      <c r="G73" s="185"/>
      <c r="H73" s="185"/>
      <c r="I73" s="185"/>
      <c r="J73" s="185"/>
      <c r="K73" s="185"/>
      <c r="L73" s="185"/>
      <c r="M73" s="185"/>
      <c r="N73" s="185"/>
      <c r="O73" s="185"/>
      <c r="P73" s="185"/>
      <c r="Q73" s="377"/>
    </row>
    <row r="74" spans="1:17" ht="15.75" hidden="1">
      <c r="A74" s="287"/>
      <c r="B74" s="258"/>
      <c r="C74" s="279"/>
      <c r="D74" s="243"/>
      <c r="E74" s="295"/>
      <c r="F74" s="293"/>
      <c r="G74" s="185"/>
      <c r="H74" s="185"/>
      <c r="I74" s="185"/>
      <c r="J74" s="185"/>
      <c r="K74" s="185"/>
      <c r="L74" s="185"/>
      <c r="M74" s="185"/>
      <c r="N74" s="185"/>
      <c r="O74" s="185"/>
      <c r="P74" s="185"/>
      <c r="Q74" s="377"/>
    </row>
    <row r="75" spans="1:17" ht="15.75" hidden="1">
      <c r="A75" s="287"/>
      <c r="B75" s="258"/>
      <c r="C75" s="279"/>
      <c r="D75" s="243"/>
      <c r="E75" s="295"/>
      <c r="F75" s="293"/>
      <c r="G75" s="185"/>
      <c r="H75" s="185"/>
      <c r="I75" s="185"/>
      <c r="J75" s="185"/>
      <c r="K75" s="185"/>
      <c r="L75" s="185"/>
      <c r="M75" s="185"/>
      <c r="N75" s="185"/>
      <c r="O75" s="185"/>
      <c r="P75" s="185"/>
      <c r="Q75" s="377"/>
    </row>
    <row r="76" spans="1:17" ht="15.75">
      <c r="A76" s="296"/>
      <c r="B76" s="252" t="str">
        <f>'ATT H-2A'!B85</f>
        <v>Prepayments</v>
      </c>
      <c r="C76" s="260"/>
      <c r="D76" s="152"/>
      <c r="E76" s="234"/>
      <c r="F76" s="308"/>
      <c r="G76" s="185"/>
      <c r="H76" s="185"/>
      <c r="I76" s="185"/>
      <c r="J76" s="185"/>
      <c r="K76" s="185"/>
      <c r="L76" s="185"/>
      <c r="M76" s="185"/>
      <c r="N76" s="185"/>
      <c r="O76" s="185"/>
      <c r="P76" s="185"/>
      <c r="Q76" s="377"/>
    </row>
    <row r="77" spans="1:17" ht="15.75">
      <c r="A77" s="296">
        <f>'ATT H-2A'!A86</f>
        <v>45</v>
      </c>
      <c r="B77" s="309"/>
      <c r="C77" s="260" t="str">
        <f>'ATT H-2A'!C86</f>
        <v xml:space="preserve">Prepayments </v>
      </c>
      <c r="D77" s="242"/>
      <c r="E77" s="282" t="str">
        <f>'ATT H-2A'!E86</f>
        <v>(Note A)</v>
      </c>
      <c r="F77" s="310" t="str">
        <f>'ATT H-2A'!F86</f>
        <v>Attachment 5</v>
      </c>
      <c r="G77" s="229" t="s">
        <v>529</v>
      </c>
      <c r="H77" s="185"/>
      <c r="I77" s="185"/>
      <c r="J77" s="185"/>
      <c r="K77" s="185"/>
      <c r="L77" s="185"/>
      <c r="M77" s="185"/>
      <c r="N77" s="185"/>
      <c r="O77" s="185"/>
      <c r="P77" s="185"/>
      <c r="Q77" s="377"/>
    </row>
    <row r="78" spans="1:17" ht="15.75" hidden="1">
      <c r="A78" s="287" t="e">
        <f>'ATT H-2A'!#REF!</f>
        <v>#REF!</v>
      </c>
      <c r="B78" s="311"/>
      <c r="C78" s="260" t="e">
        <f>'ATT H-2A'!#REF!</f>
        <v>#REF!</v>
      </c>
      <c r="D78" s="257"/>
      <c r="E78" s="258"/>
      <c r="F78" s="286" t="e">
        <f>'ATT H-2A'!#REF!</f>
        <v>#REF!</v>
      </c>
      <c r="G78" s="185"/>
      <c r="H78" s="185"/>
      <c r="I78" s="185"/>
      <c r="J78" s="185"/>
      <c r="K78" s="185"/>
      <c r="L78" s="185"/>
      <c r="M78" s="185"/>
      <c r="N78" s="185"/>
      <c r="O78" s="185"/>
      <c r="P78" s="185"/>
      <c r="Q78" s="185"/>
    </row>
    <row r="79" spans="1:17" ht="15.75" hidden="1">
      <c r="A79" s="287">
        <f>'ATT H-2A'!A87</f>
        <v>46</v>
      </c>
      <c r="B79" s="311"/>
      <c r="C79" s="281" t="str">
        <f>'ATT H-2A'!C87</f>
        <v>Total Prepayments Allocated to Transmission</v>
      </c>
      <c r="D79" s="152"/>
      <c r="E79" s="258"/>
      <c r="F79" s="286" t="str">
        <f>'ATT H-2A'!F87</f>
        <v>(Line 45)</v>
      </c>
      <c r="G79" s="185"/>
      <c r="H79" s="185"/>
      <c r="I79" s="185"/>
      <c r="J79" s="185"/>
      <c r="K79" s="185"/>
      <c r="L79" s="185"/>
      <c r="M79" s="185"/>
      <c r="N79" s="185"/>
      <c r="O79" s="185"/>
      <c r="P79" s="185"/>
      <c r="Q79" s="185"/>
    </row>
    <row r="80" spans="1:17" ht="15.75" hidden="1">
      <c r="A80" s="287"/>
      <c r="B80" s="258"/>
      <c r="C80" s="279"/>
      <c r="D80" s="243"/>
      <c r="E80" s="295"/>
      <c r="F80" s="293"/>
      <c r="G80" s="185"/>
      <c r="H80" s="185"/>
      <c r="I80" s="185"/>
      <c r="J80" s="185"/>
      <c r="K80" s="185"/>
      <c r="L80" s="185"/>
      <c r="M80" s="185"/>
      <c r="N80" s="185"/>
      <c r="O80" s="185"/>
      <c r="P80" s="185"/>
      <c r="Q80" s="185"/>
    </row>
    <row r="81" spans="1:17" ht="15.75">
      <c r="A81" s="296"/>
      <c r="B81" s="252" t="str">
        <f>'ATT H-2A'!B89</f>
        <v>Materials and Supplies</v>
      </c>
      <c r="C81" s="233"/>
      <c r="D81" s="233"/>
      <c r="E81" s="312"/>
      <c r="F81" s="313"/>
      <c r="G81" s="185"/>
      <c r="H81" s="185"/>
      <c r="I81" s="185"/>
      <c r="J81" s="185"/>
      <c r="K81" s="185"/>
      <c r="L81" s="185"/>
      <c r="M81" s="185"/>
      <c r="N81" s="185"/>
      <c r="O81" s="185"/>
      <c r="P81" s="185"/>
      <c r="Q81" s="377"/>
    </row>
    <row r="82" spans="1:17" ht="15.75">
      <c r="A82" s="302">
        <f>'ATT H-2A'!A90</f>
        <v>47</v>
      </c>
      <c r="B82" s="233"/>
      <c r="C82" s="233" t="str">
        <f>'ATT H-2A'!C90</f>
        <v>Undistributed Stores Exp</v>
      </c>
      <c r="D82" s="243"/>
      <c r="E82" s="282" t="str">
        <f>'ATT H-2A'!E90</f>
        <v>(Note A)</v>
      </c>
      <c r="F82" s="314" t="str">
        <f>'ATT H-2A'!F90</f>
        <v>p227.6c &amp; 16.c</v>
      </c>
      <c r="G82" s="229" t="s">
        <v>529</v>
      </c>
      <c r="H82" s="185"/>
      <c r="I82" s="185"/>
      <c r="J82" s="185"/>
      <c r="K82" s="185"/>
      <c r="L82" s="185"/>
      <c r="M82" s="185"/>
      <c r="N82" s="185"/>
      <c r="O82" s="185"/>
      <c r="P82" s="185"/>
      <c r="Q82" s="377"/>
    </row>
    <row r="83" spans="1:17" ht="15.75" hidden="1">
      <c r="A83" s="296">
        <f>'ATT H-2A'!A91</f>
        <v>48</v>
      </c>
      <c r="B83" s="311"/>
      <c r="C83" s="260" t="str">
        <f>'ATT H-2A'!C91</f>
        <v>Wage &amp; Salary Allocation Factor</v>
      </c>
      <c r="D83" s="257"/>
      <c r="E83" s="277"/>
      <c r="F83" s="286" t="str">
        <f>'ATT H-2A'!F91</f>
        <v>(Line 5)</v>
      </c>
      <c r="G83" s="185"/>
      <c r="H83" s="185"/>
      <c r="I83" s="185"/>
      <c r="J83" s="185"/>
      <c r="K83" s="185"/>
      <c r="L83" s="185"/>
      <c r="M83" s="185"/>
      <c r="N83" s="185"/>
      <c r="O83" s="185"/>
      <c r="P83" s="185"/>
      <c r="Q83" s="377"/>
    </row>
    <row r="84" spans="1:17" ht="15.75" hidden="1">
      <c r="A84" s="296">
        <f>'ATT H-2A'!A92</f>
        <v>49</v>
      </c>
      <c r="B84" s="311"/>
      <c r="C84" s="260" t="str">
        <f>'ATT H-2A'!C92</f>
        <v>Total Transmission Allocated</v>
      </c>
      <c r="D84" s="243"/>
      <c r="E84" s="264"/>
      <c r="F84" s="286" t="str">
        <f>'ATT H-2A'!F92</f>
        <v>(Line 47 * 48)</v>
      </c>
      <c r="G84" s="185"/>
      <c r="H84" s="185"/>
      <c r="I84" s="185"/>
      <c r="J84" s="185"/>
      <c r="K84" s="185"/>
      <c r="L84" s="185"/>
      <c r="M84" s="185"/>
      <c r="N84" s="185"/>
      <c r="O84" s="185"/>
      <c r="P84" s="185"/>
      <c r="Q84" s="377"/>
    </row>
    <row r="85" spans="1:17" ht="15.75" hidden="1">
      <c r="A85" s="296">
        <f>'ATT H-2A'!A93</f>
        <v>50</v>
      </c>
      <c r="B85" s="311"/>
      <c r="C85" s="260" t="str">
        <f>'ATT H-2A'!C93</f>
        <v>Transmission Materials &amp; Supplies</v>
      </c>
      <c r="D85" s="243"/>
      <c r="E85" s="277"/>
      <c r="F85" s="314" t="str">
        <f>'ATT H-2A'!F93</f>
        <v>p227.8c</v>
      </c>
      <c r="G85" s="185"/>
      <c r="H85" s="185"/>
      <c r="I85" s="185"/>
      <c r="J85" s="185"/>
      <c r="K85" s="185"/>
      <c r="L85" s="185"/>
      <c r="M85" s="185"/>
      <c r="N85" s="185"/>
      <c r="O85" s="185"/>
      <c r="P85" s="185"/>
      <c r="Q85" s="377"/>
    </row>
    <row r="86" spans="1:17" ht="15.75" hidden="1">
      <c r="A86" s="296">
        <f>'ATT H-2A'!A94</f>
        <v>51</v>
      </c>
      <c r="B86" s="311"/>
      <c r="C86" s="281" t="str">
        <f>'ATT H-2A'!C94</f>
        <v>Total Materials &amp; Supplies Allocated to Transmission</v>
      </c>
      <c r="D86" s="266"/>
      <c r="E86" s="339"/>
      <c r="F86" s="286" t="str">
        <f>'ATT H-2A'!F94</f>
        <v>(Line 49 + 50)</v>
      </c>
      <c r="G86" s="185"/>
      <c r="H86" s="185"/>
      <c r="I86" s="185"/>
      <c r="J86" s="185"/>
      <c r="K86" s="185"/>
      <c r="L86" s="185"/>
      <c r="M86" s="185"/>
      <c r="N86" s="185"/>
      <c r="O86" s="185"/>
      <c r="P86" s="185"/>
      <c r="Q86" s="377"/>
    </row>
    <row r="87" spans="1:17" ht="15.75" hidden="1">
      <c r="A87" s="287"/>
      <c r="B87" s="258"/>
      <c r="C87" s="279"/>
      <c r="D87" s="243"/>
      <c r="E87" s="295"/>
      <c r="F87" s="293"/>
      <c r="G87" s="185"/>
      <c r="H87" s="185"/>
      <c r="I87" s="185"/>
      <c r="J87" s="185"/>
      <c r="K87" s="185"/>
      <c r="L87" s="185"/>
      <c r="M87" s="185"/>
      <c r="N87" s="185"/>
      <c r="O87" s="185"/>
      <c r="P87" s="185"/>
      <c r="Q87" s="377"/>
    </row>
    <row r="88" spans="1:17" ht="15.75" hidden="1">
      <c r="A88" s="296"/>
      <c r="B88" s="252" t="str">
        <f>'ATT H-2A'!B96</f>
        <v>Cash Working Capital</v>
      </c>
      <c r="C88" s="233"/>
      <c r="D88" s="152"/>
      <c r="E88" s="234"/>
      <c r="F88" s="308"/>
      <c r="G88" s="185"/>
      <c r="H88" s="185"/>
      <c r="I88" s="185"/>
      <c r="J88" s="185"/>
      <c r="K88" s="185"/>
      <c r="L88" s="185"/>
      <c r="M88" s="185"/>
      <c r="N88" s="185"/>
      <c r="O88" s="185"/>
      <c r="P88" s="185"/>
      <c r="Q88" s="377"/>
    </row>
    <row r="89" spans="1:17" ht="15.75" hidden="1">
      <c r="A89" s="296">
        <f>'ATT H-2A'!A97</f>
        <v>52</v>
      </c>
      <c r="B89" s="311"/>
      <c r="C89" s="260" t="str">
        <f>'ATT H-2A'!C97</f>
        <v>Operation &amp; Maintenance Expense</v>
      </c>
      <c r="D89" s="315"/>
      <c r="E89" s="234"/>
      <c r="F89" s="286" t="str">
        <f>'ATT H-2A'!F97</f>
        <v>(Line 84)</v>
      </c>
      <c r="G89" s="185"/>
      <c r="H89" s="185"/>
      <c r="I89" s="185"/>
      <c r="J89" s="185"/>
      <c r="K89" s="185"/>
      <c r="L89" s="185"/>
      <c r="M89" s="185"/>
      <c r="N89" s="185"/>
      <c r="O89" s="185"/>
      <c r="P89" s="185"/>
      <c r="Q89" s="377"/>
    </row>
    <row r="90" spans="1:17" ht="15.75" hidden="1">
      <c r="A90" s="296">
        <f>'ATT H-2A'!A98</f>
        <v>53</v>
      </c>
      <c r="B90" s="311"/>
      <c r="C90" s="257" t="str">
        <f>'ATT H-2A'!C98</f>
        <v>1/8th Rule</v>
      </c>
      <c r="D90" s="315"/>
      <c r="E90" s="234"/>
      <c r="F90" s="310" t="str">
        <f>'ATT H-2A'!F98</f>
        <v>x 1/8</v>
      </c>
      <c r="G90" s="185"/>
      <c r="H90" s="185"/>
      <c r="I90" s="185"/>
      <c r="J90" s="185"/>
      <c r="K90" s="185"/>
      <c r="L90" s="185"/>
      <c r="M90" s="185"/>
      <c r="N90" s="185"/>
      <c r="O90" s="185"/>
      <c r="P90" s="185"/>
      <c r="Q90" s="377"/>
    </row>
    <row r="91" spans="1:17" ht="15.75" hidden="1">
      <c r="A91" s="296">
        <f>'ATT H-2A'!A99</f>
        <v>54</v>
      </c>
      <c r="B91" s="316"/>
      <c r="C91" s="252" t="str">
        <f>'ATT H-2A'!C99</f>
        <v>Total Cash Working Capital Allocated to Transmission</v>
      </c>
      <c r="D91" s="259"/>
      <c r="E91" s="267"/>
      <c r="F91" s="286" t="str">
        <f>'ATT H-2A'!F99</f>
        <v>(Line 52 * 53)</v>
      </c>
      <c r="G91" s="185"/>
      <c r="H91" s="185"/>
      <c r="I91" s="185"/>
      <c r="J91" s="185"/>
      <c r="K91" s="185"/>
      <c r="L91" s="185"/>
      <c r="M91" s="185"/>
      <c r="N91" s="185"/>
      <c r="O91" s="185"/>
      <c r="P91" s="185"/>
      <c r="Q91" s="377"/>
    </row>
    <row r="92" spans="1:17" ht="15.75" hidden="1">
      <c r="A92" s="287"/>
      <c r="B92" s="258"/>
      <c r="C92" s="279"/>
      <c r="D92" s="243"/>
      <c r="E92" s="295"/>
      <c r="F92" s="293"/>
      <c r="G92" s="185"/>
      <c r="H92" s="185"/>
      <c r="I92" s="185"/>
      <c r="J92" s="185"/>
      <c r="K92" s="185"/>
      <c r="L92" s="185"/>
      <c r="M92" s="185"/>
      <c r="N92" s="185"/>
      <c r="O92" s="185"/>
      <c r="P92" s="185"/>
      <c r="Q92" s="377"/>
    </row>
    <row r="93" spans="1:17" ht="15.75">
      <c r="A93" s="317"/>
      <c r="B93" s="252" t="str">
        <f>'ATT H-2A'!B101</f>
        <v>Network Credits</v>
      </c>
      <c r="C93" s="318"/>
      <c r="D93" s="259"/>
      <c r="E93" s="205"/>
      <c r="F93" s="286"/>
      <c r="G93" s="185"/>
      <c r="H93" s="185"/>
      <c r="I93" s="185"/>
      <c r="J93" s="185"/>
      <c r="K93" s="185"/>
      <c r="L93" s="185"/>
      <c r="M93" s="185"/>
      <c r="N93" s="185"/>
      <c r="O93" s="185"/>
      <c r="P93" s="185"/>
      <c r="Q93" s="408" t="s">
        <v>529</v>
      </c>
    </row>
    <row r="94" spans="1:17" ht="15.75">
      <c r="A94" s="296">
        <f>'ATT H-2A'!A102</f>
        <v>55</v>
      </c>
      <c r="B94" s="269"/>
      <c r="C94" s="269" t="str">
        <f>'ATT H-2A'!C102</f>
        <v>Outstanding Network Credits</v>
      </c>
      <c r="D94" s="269"/>
      <c r="E94" s="319" t="str">
        <f>'ATT H-2A'!E102</f>
        <v>(Note N)</v>
      </c>
      <c r="F94" s="290" t="str">
        <f>'ATT H-2A'!F102</f>
        <v>From PJM</v>
      </c>
      <c r="G94" s="185"/>
      <c r="H94" s="185"/>
      <c r="I94" s="185"/>
      <c r="J94" s="185"/>
      <c r="K94" s="185"/>
      <c r="L94" s="185"/>
      <c r="M94" s="185"/>
      <c r="N94" s="185"/>
      <c r="O94" s="185"/>
      <c r="P94" s="185"/>
      <c r="Q94" s="377"/>
    </row>
    <row r="95" spans="1:17" ht="15.75" hidden="1">
      <c r="A95" s="289">
        <f>'ATT H-2A'!A103</f>
        <v>56</v>
      </c>
      <c r="B95" s="269"/>
      <c r="C95" s="269" t="str">
        <f>'ATT H-2A'!C103</f>
        <v xml:space="preserve">    Less Accumulated Depreciation Associated with Facilities with Outstanding Network Credits</v>
      </c>
      <c r="D95" s="269"/>
      <c r="E95" s="234"/>
      <c r="F95" s="290" t="str">
        <f>'ATT H-2A'!F103</f>
        <v>From PJM</v>
      </c>
      <c r="G95" s="185"/>
      <c r="H95" s="185"/>
      <c r="I95" s="185"/>
      <c r="J95" s="185"/>
      <c r="K95" s="185"/>
      <c r="L95" s="185"/>
      <c r="M95" s="185"/>
      <c r="N95" s="185"/>
      <c r="O95" s="185"/>
      <c r="P95" s="185"/>
      <c r="Q95" s="377"/>
    </row>
    <row r="96" spans="1:17" ht="15.75" hidden="1">
      <c r="A96" s="289">
        <f>'ATT H-2A'!A104</f>
        <v>57</v>
      </c>
      <c r="B96" s="269"/>
      <c r="C96" s="269" t="str">
        <f>'ATT H-2A'!C104</f>
        <v>Net Outstanding Credits</v>
      </c>
      <c r="D96" s="269"/>
      <c r="E96" s="234"/>
      <c r="F96" s="286" t="str">
        <f>'ATT H-2A'!F104</f>
        <v>(Line 55 - 56)</v>
      </c>
      <c r="G96" s="185"/>
      <c r="H96" s="185"/>
      <c r="I96" s="185"/>
      <c r="J96" s="185"/>
      <c r="K96" s="185"/>
      <c r="L96" s="185"/>
      <c r="M96" s="185"/>
      <c r="N96" s="185"/>
      <c r="O96" s="185"/>
      <c r="P96" s="185"/>
      <c r="Q96" s="377"/>
    </row>
    <row r="97" spans="1:17" ht="15.75" hidden="1">
      <c r="A97" s="287"/>
      <c r="B97" s="258"/>
      <c r="C97" s="279"/>
      <c r="D97" s="243"/>
      <c r="E97" s="295"/>
      <c r="F97" s="293"/>
      <c r="G97" s="185"/>
      <c r="H97" s="185"/>
      <c r="I97" s="185"/>
      <c r="J97" s="185"/>
      <c r="K97" s="185"/>
      <c r="L97" s="185"/>
      <c r="M97" s="185"/>
      <c r="N97" s="185"/>
      <c r="O97" s="185"/>
      <c r="P97" s="185"/>
      <c r="Q97" s="377"/>
    </row>
    <row r="98" spans="1:17" ht="15.75" hidden="1">
      <c r="A98" s="289">
        <f>'ATT H-2A'!A106</f>
        <v>58</v>
      </c>
      <c r="B98" s="318" t="str">
        <f>'ATT H-2A'!B106</f>
        <v>TOTAL Adjustment to Rate Base</v>
      </c>
      <c r="C98" s="318"/>
      <c r="D98" s="318"/>
      <c r="E98" s="267"/>
      <c r="F98" s="286" t="str">
        <f>'ATT H-2A'!F106</f>
        <v>(Line 43 + 44 + 44a + 46 + 51 + 54 - 57)</v>
      </c>
      <c r="G98" s="185"/>
      <c r="H98" s="185"/>
      <c r="I98" s="185"/>
      <c r="J98" s="185"/>
      <c r="K98" s="185"/>
      <c r="L98" s="185"/>
      <c r="M98" s="185"/>
      <c r="N98" s="185"/>
      <c r="O98" s="185"/>
      <c r="P98" s="185"/>
      <c r="Q98" s="377"/>
    </row>
    <row r="99" spans="1:17" ht="15.75" hidden="1">
      <c r="A99" s="287"/>
      <c r="B99" s="258"/>
      <c r="C99" s="279"/>
      <c r="D99" s="243"/>
      <c r="E99" s="295"/>
      <c r="F99" s="293"/>
      <c r="G99" s="185"/>
      <c r="H99" s="185"/>
      <c r="I99" s="185"/>
      <c r="J99" s="185"/>
      <c r="K99" s="185"/>
      <c r="L99" s="185"/>
      <c r="M99" s="185"/>
      <c r="N99" s="185"/>
      <c r="O99" s="185"/>
      <c r="P99" s="185"/>
      <c r="Q99" s="377"/>
    </row>
    <row r="100" spans="1:17" ht="15.75" hidden="1">
      <c r="A100" s="287">
        <f>'ATT H-2A'!A108</f>
        <v>59</v>
      </c>
      <c r="B100" s="318" t="str">
        <f>'ATT H-2A'!B108</f>
        <v>Rate Base</v>
      </c>
      <c r="C100" s="318"/>
      <c r="D100" s="318"/>
      <c r="E100" s="267"/>
      <c r="F100" s="286" t="str">
        <f>'ATT H-2A'!F108</f>
        <v>(Line 39 + 58)</v>
      </c>
      <c r="G100" s="185"/>
      <c r="H100" s="185"/>
      <c r="I100" s="185"/>
      <c r="J100" s="185"/>
      <c r="K100" s="185"/>
      <c r="L100" s="185"/>
      <c r="M100" s="185"/>
      <c r="N100" s="185"/>
      <c r="O100" s="185"/>
      <c r="P100" s="185"/>
      <c r="Q100" s="377"/>
    </row>
    <row r="101" spans="1:17" ht="15.75" hidden="1">
      <c r="A101" s="287"/>
      <c r="B101" s="258"/>
      <c r="C101" s="279"/>
      <c r="D101" s="243"/>
      <c r="E101" s="295"/>
      <c r="F101" s="293"/>
      <c r="G101" s="185"/>
      <c r="H101" s="185"/>
      <c r="I101" s="185"/>
      <c r="J101" s="185"/>
      <c r="K101" s="185"/>
      <c r="L101" s="185"/>
      <c r="M101" s="185"/>
      <c r="N101" s="185"/>
      <c r="O101" s="185"/>
      <c r="P101" s="185"/>
      <c r="Q101" s="377"/>
    </row>
    <row r="102" spans="1:17" ht="15.75" hidden="1">
      <c r="A102" s="299" t="str">
        <f>'ATT H-2A'!A110</f>
        <v>O&amp;M</v>
      </c>
      <c r="B102" s="244"/>
      <c r="C102" s="320"/>
      <c r="D102" s="245"/>
      <c r="E102" s="246"/>
      <c r="F102" s="300"/>
      <c r="G102" s="185"/>
      <c r="H102" s="185"/>
      <c r="I102" s="185"/>
      <c r="J102" s="185"/>
      <c r="K102" s="185"/>
      <c r="L102" s="185"/>
      <c r="M102" s="185"/>
      <c r="N102" s="185"/>
      <c r="O102" s="185"/>
      <c r="P102" s="185"/>
      <c r="Q102" s="377"/>
    </row>
    <row r="103" spans="1:17" ht="15.75" hidden="1">
      <c r="A103" s="287"/>
      <c r="B103" s="258"/>
      <c r="C103" s="279"/>
      <c r="D103" s="243"/>
      <c r="E103" s="295"/>
      <c r="F103" s="293"/>
      <c r="G103" s="185"/>
      <c r="H103" s="185"/>
      <c r="I103" s="185"/>
      <c r="J103" s="185"/>
      <c r="K103" s="185"/>
      <c r="L103" s="185"/>
      <c r="M103" s="185"/>
      <c r="N103" s="185"/>
      <c r="O103" s="185"/>
      <c r="P103" s="185"/>
      <c r="Q103" s="377"/>
    </row>
    <row r="104" spans="1:17" ht="15.75" hidden="1">
      <c r="A104" s="287">
        <f>'ATT H-2A'!A112</f>
        <v>0</v>
      </c>
      <c r="B104" s="279" t="str">
        <f>'ATT H-2A'!B112</f>
        <v>Transmission O&amp;M</v>
      </c>
      <c r="C104" s="152"/>
      <c r="D104" s="249"/>
      <c r="E104" s="251"/>
      <c r="F104" s="290"/>
      <c r="G104" s="185"/>
      <c r="H104" s="185"/>
      <c r="I104" s="185"/>
      <c r="J104" s="185"/>
      <c r="K104" s="185"/>
      <c r="L104" s="185"/>
      <c r="M104" s="185"/>
      <c r="N104" s="185"/>
      <c r="O104" s="185"/>
      <c r="P104" s="185"/>
      <c r="Q104" s="377"/>
    </row>
    <row r="105" spans="1:17" ht="15.75" hidden="1">
      <c r="A105" s="287">
        <f>'ATT H-2A'!A113</f>
        <v>60</v>
      </c>
      <c r="B105" s="258"/>
      <c r="C105" s="254" t="str">
        <f>'ATT H-2A'!C113</f>
        <v>Transmission O&amp;M</v>
      </c>
      <c r="D105" s="243"/>
      <c r="E105" s="264"/>
      <c r="F105" s="297" t="str">
        <f>'ATT H-2A'!F113</f>
        <v>p321.112.b</v>
      </c>
      <c r="G105" s="185"/>
      <c r="H105" s="185"/>
      <c r="I105" s="185"/>
      <c r="J105" s="185"/>
      <c r="K105" s="185"/>
      <c r="L105" s="185"/>
      <c r="M105" s="185"/>
      <c r="N105" s="185"/>
      <c r="O105" s="185"/>
      <c r="P105" s="185"/>
      <c r="Q105" s="377"/>
    </row>
    <row r="106" spans="1:17" ht="15.75" hidden="1">
      <c r="A106" s="287">
        <f>'ATT H-2A'!A116</f>
        <v>63</v>
      </c>
      <c r="B106" s="258"/>
      <c r="C106" s="254" t="str">
        <f>'ATT H-2A'!C116</f>
        <v xml:space="preserve">     Less Account 565</v>
      </c>
      <c r="D106" s="243"/>
      <c r="E106" s="264"/>
      <c r="F106" s="297" t="str">
        <f>'ATT H-2A'!F116</f>
        <v>p321.96.b</v>
      </c>
      <c r="G106" s="185"/>
      <c r="H106" s="185"/>
      <c r="I106" s="185"/>
      <c r="J106" s="185"/>
      <c r="K106" s="185"/>
      <c r="L106" s="185"/>
      <c r="M106" s="185"/>
      <c r="N106" s="185"/>
      <c r="O106" s="185"/>
      <c r="P106" s="185"/>
      <c r="Q106" s="377"/>
    </row>
    <row r="107" spans="1:17" ht="15.75" hidden="1">
      <c r="A107" s="287">
        <f>'ATT H-2A'!A118</f>
        <v>65</v>
      </c>
      <c r="B107" s="258"/>
      <c r="C107" s="254" t="str">
        <f>'ATT H-2A'!C118</f>
        <v xml:space="preserve">     Plus Transmission Lease Payments</v>
      </c>
      <c r="D107" s="253"/>
      <c r="E107" s="228"/>
      <c r="F107" s="297" t="str">
        <f>'ATT H-2A'!F118</f>
        <v>Attachment 5</v>
      </c>
      <c r="G107" s="185"/>
      <c r="H107" s="185"/>
      <c r="I107" s="185"/>
      <c r="J107" s="185"/>
      <c r="K107" s="185"/>
      <c r="L107" s="185"/>
      <c r="M107" s="185"/>
      <c r="N107" s="185"/>
      <c r="O107" s="185"/>
      <c r="P107" s="185"/>
      <c r="Q107" s="377"/>
    </row>
    <row r="108" spans="1:17" ht="15.75" hidden="1">
      <c r="A108" s="296">
        <f>'ATT H-2A'!A119</f>
        <v>66</v>
      </c>
      <c r="B108" s="243"/>
      <c r="C108" s="279" t="str">
        <f>'ATT H-2A'!C119</f>
        <v>Transmission O&amp;M</v>
      </c>
      <c r="D108" s="243"/>
      <c r="E108" s="264"/>
      <c r="F108" s="297" t="str">
        <f>'ATT H-2A'!F119</f>
        <v>(Lines 60 - 61 + 62 - 63 + 64 + 65)</v>
      </c>
      <c r="G108" s="185"/>
      <c r="H108" s="185"/>
      <c r="I108" s="185"/>
      <c r="J108" s="185"/>
      <c r="K108" s="185"/>
      <c r="L108" s="185"/>
      <c r="M108" s="185"/>
      <c r="N108" s="185"/>
      <c r="O108" s="185"/>
      <c r="P108" s="185"/>
      <c r="Q108" s="377"/>
    </row>
    <row r="109" spans="1:17" ht="15.75" hidden="1">
      <c r="A109" s="287"/>
      <c r="B109" s="258"/>
      <c r="C109" s="279"/>
      <c r="D109" s="243"/>
      <c r="E109" s="295"/>
      <c r="F109" s="293"/>
      <c r="G109" s="185"/>
      <c r="H109" s="185"/>
      <c r="I109" s="185"/>
      <c r="J109" s="185"/>
      <c r="K109" s="185"/>
      <c r="L109" s="185"/>
      <c r="M109" s="185"/>
      <c r="N109" s="185"/>
      <c r="O109" s="185"/>
      <c r="P109" s="185"/>
      <c r="Q109" s="377"/>
    </row>
    <row r="110" spans="1:17" ht="15.75">
      <c r="A110" s="296"/>
      <c r="B110" s="279" t="str">
        <f>'ATT H-2A'!B121</f>
        <v>Allocated General &amp; Common Expenses</v>
      </c>
      <c r="C110" s="243"/>
      <c r="D110" s="243"/>
      <c r="E110" s="295"/>
      <c r="F110" s="321"/>
      <c r="G110" s="185"/>
      <c r="H110" s="185"/>
      <c r="I110" s="185"/>
      <c r="J110" s="185"/>
      <c r="K110" s="185"/>
      <c r="L110" s="185"/>
      <c r="M110" s="185"/>
      <c r="N110" s="185"/>
      <c r="O110" s="185"/>
      <c r="P110" s="185"/>
      <c r="Q110" s="377"/>
    </row>
    <row r="111" spans="1:17" ht="15.75">
      <c r="A111" s="296">
        <f>'ATT H-2A'!A122</f>
        <v>67</v>
      </c>
      <c r="B111" s="277"/>
      <c r="C111" s="254" t="str">
        <f>'ATT H-2A'!C122</f>
        <v>Common Plant O&amp;M</v>
      </c>
      <c r="D111" s="243"/>
      <c r="E111" s="319" t="str">
        <f>'ATT H-2A'!E122</f>
        <v>(Note A)</v>
      </c>
      <c r="F111" s="286" t="str">
        <f>'ATT H-2A'!F122</f>
        <v>p356</v>
      </c>
      <c r="G111" s="229" t="s">
        <v>529</v>
      </c>
      <c r="H111" s="229"/>
      <c r="I111" s="185"/>
      <c r="J111" s="185"/>
      <c r="K111" s="185"/>
      <c r="L111" s="185"/>
      <c r="M111" s="185"/>
      <c r="N111" s="185"/>
      <c r="O111" s="185"/>
      <c r="P111" s="185"/>
      <c r="Q111" s="377"/>
    </row>
    <row r="112" spans="1:17" ht="15.75" hidden="1">
      <c r="A112" s="296">
        <f>'ATT H-2A'!A123</f>
        <v>68</v>
      </c>
      <c r="B112" s="277"/>
      <c r="C112" s="254" t="str">
        <f>'ATT H-2A'!C123</f>
        <v>Total A&amp;G</v>
      </c>
      <c r="D112" s="243"/>
      <c r="E112" s="264"/>
      <c r="F112" s="297" t="str">
        <f>'ATT H-2A'!F123</f>
        <v>Attachment 5</v>
      </c>
      <c r="G112" s="185"/>
      <c r="H112" s="185"/>
      <c r="I112" s="185"/>
      <c r="J112" s="185"/>
      <c r="K112" s="185"/>
      <c r="L112" s="185"/>
      <c r="M112" s="185"/>
      <c r="N112" s="185"/>
      <c r="O112" s="185"/>
      <c r="P112" s="185"/>
      <c r="Q112" s="377"/>
    </row>
    <row r="113" spans="1:17" ht="15.75" hidden="1">
      <c r="A113" s="296">
        <f>'ATT H-2A'!A125</f>
        <v>69</v>
      </c>
      <c r="B113" s="277"/>
      <c r="C113" s="254" t="str">
        <f>'ATT H-2A'!C125</f>
        <v xml:space="preserve">    Less Property Insurance Account 924</v>
      </c>
      <c r="D113" s="253"/>
      <c r="E113" s="264"/>
      <c r="F113" s="322" t="str">
        <f>'ATT H-2A'!F125</f>
        <v>p323.185.b</v>
      </c>
      <c r="G113" s="185"/>
      <c r="H113" s="185"/>
      <c r="I113" s="185"/>
      <c r="J113" s="185"/>
      <c r="K113" s="185"/>
      <c r="L113" s="185"/>
      <c r="M113" s="185"/>
      <c r="N113" s="185"/>
      <c r="O113" s="185"/>
      <c r="P113" s="185"/>
      <c r="Q113" s="377"/>
    </row>
    <row r="114" spans="1:17" ht="15.75">
      <c r="A114" s="296">
        <f>'ATT H-2A'!A126</f>
        <v>70</v>
      </c>
      <c r="B114" s="277"/>
      <c r="C114" s="254" t="str">
        <f>'ATT H-2A'!C126</f>
        <v xml:space="preserve">    Less Regulatory Commission Exp Account 928</v>
      </c>
      <c r="D114" s="253"/>
      <c r="E114" s="319" t="str">
        <f>'ATT H-2A'!E126</f>
        <v>(Note E)</v>
      </c>
      <c r="F114" s="322" t="str">
        <f>'ATT H-2A'!F126</f>
        <v>p323.189.b</v>
      </c>
      <c r="G114" s="185"/>
      <c r="H114" s="185"/>
      <c r="I114" s="185"/>
      <c r="J114" s="185"/>
      <c r="K114" s="229" t="s">
        <v>529</v>
      </c>
      <c r="L114" s="185"/>
      <c r="M114" s="185"/>
      <c r="N114" s="185"/>
      <c r="O114" s="185"/>
      <c r="P114" s="185"/>
      <c r="Q114" s="377"/>
    </row>
    <row r="115" spans="1:17" ht="15.75" hidden="1">
      <c r="A115" s="296">
        <f>'ATT H-2A'!A127</f>
        <v>71</v>
      </c>
      <c r="B115" s="277"/>
      <c r="C115" s="254" t="str">
        <f>'ATT H-2A'!C127</f>
        <v xml:space="preserve">    Less General Advertising Exp Account 930.1</v>
      </c>
      <c r="D115" s="253"/>
      <c r="E115" s="264"/>
      <c r="F115" s="322" t="str">
        <f>'ATT H-2A'!F127</f>
        <v>p323.191.b</v>
      </c>
      <c r="G115" s="185"/>
      <c r="H115" s="185"/>
      <c r="I115" s="185"/>
      <c r="J115" s="185"/>
      <c r="K115" s="185"/>
      <c r="L115" s="185"/>
      <c r="M115" s="185"/>
      <c r="N115" s="185"/>
      <c r="O115" s="185"/>
      <c r="P115" s="185"/>
      <c r="Q115" s="377"/>
    </row>
    <row r="116" spans="1:17" ht="15.75">
      <c r="A116" s="296">
        <f>'ATT H-2A'!A128</f>
        <v>72</v>
      </c>
      <c r="B116" s="277"/>
      <c r="C116" s="254" t="str">
        <f>'ATT H-2A'!C128</f>
        <v xml:space="preserve">    Less EPRI Dues</v>
      </c>
      <c r="D116" s="269"/>
      <c r="E116" s="319" t="str">
        <f>'ATT H-2A'!E128</f>
        <v>(Note D)</v>
      </c>
      <c r="F116" s="297" t="str">
        <f>'ATT H-2A'!F128</f>
        <v>p352-353</v>
      </c>
      <c r="G116" s="185"/>
      <c r="H116" s="185"/>
      <c r="I116" s="185"/>
      <c r="J116" s="229" t="s">
        <v>529</v>
      </c>
      <c r="K116" s="185"/>
      <c r="L116" s="185"/>
      <c r="M116" s="185"/>
      <c r="N116" s="185"/>
      <c r="O116" s="185"/>
      <c r="P116" s="185"/>
      <c r="Q116" s="377"/>
    </row>
    <row r="117" spans="1:17" ht="15.75" hidden="1">
      <c r="A117" s="296">
        <f>'ATT H-2A'!A129</f>
        <v>73</v>
      </c>
      <c r="B117" s="277"/>
      <c r="C117" s="279" t="str">
        <f>'ATT H-2A'!C129</f>
        <v>General &amp; Common Expenses</v>
      </c>
      <c r="D117" s="243"/>
      <c r="E117" s="295"/>
      <c r="F117" s="286" t="str">
        <f>'ATT H-2A'!F129</f>
        <v>(Lines 67 + 68) -  Sum (69 to 72)</v>
      </c>
      <c r="G117" s="185"/>
      <c r="H117" s="185"/>
      <c r="I117" s="185"/>
      <c r="J117" s="185"/>
      <c r="K117" s="185"/>
      <c r="L117" s="185"/>
      <c r="M117" s="185"/>
      <c r="N117" s="185"/>
      <c r="O117" s="185"/>
      <c r="P117" s="185"/>
      <c r="Q117" s="377"/>
    </row>
    <row r="118" spans="1:17" ht="15.75" hidden="1">
      <c r="A118" s="296">
        <f>'ATT H-2A'!A130</f>
        <v>74</v>
      </c>
      <c r="B118" s="277"/>
      <c r="C118" s="260" t="str">
        <f>'ATT H-2A'!C130</f>
        <v>Wage &amp; Salary Allocation Factor</v>
      </c>
      <c r="D118" s="257"/>
      <c r="E118" s="234"/>
      <c r="F118" s="321" t="str">
        <f>'ATT H-2A'!F130</f>
        <v>(Line 5)</v>
      </c>
      <c r="G118" s="185"/>
      <c r="H118" s="185"/>
      <c r="I118" s="185"/>
      <c r="J118" s="185"/>
      <c r="K118" s="185"/>
      <c r="L118" s="185"/>
      <c r="M118" s="185"/>
      <c r="N118" s="185"/>
      <c r="O118" s="185"/>
      <c r="P118" s="185"/>
      <c r="Q118" s="377"/>
    </row>
    <row r="119" spans="1:17" ht="15.75" hidden="1">
      <c r="A119" s="296">
        <f>'ATT H-2A'!A131</f>
        <v>75</v>
      </c>
      <c r="B119" s="277"/>
      <c r="C119" s="279" t="str">
        <f>'ATT H-2A'!C131</f>
        <v>General &amp; Common Expenses Allocated to Transmission</v>
      </c>
      <c r="D119" s="243"/>
      <c r="E119" s="251"/>
      <c r="F119" s="286" t="str">
        <f>'ATT H-2A'!F131</f>
        <v>(Line 73 * 74)</v>
      </c>
      <c r="G119" s="185"/>
      <c r="H119" s="185"/>
      <c r="I119" s="185"/>
      <c r="J119" s="185"/>
      <c r="K119" s="185"/>
      <c r="L119" s="185"/>
      <c r="M119" s="185"/>
      <c r="N119" s="185"/>
      <c r="O119" s="185"/>
      <c r="P119" s="185"/>
      <c r="Q119" s="377"/>
    </row>
    <row r="120" spans="1:17" ht="15.75" hidden="1">
      <c r="A120" s="287"/>
      <c r="B120" s="258"/>
      <c r="C120" s="279"/>
      <c r="D120" s="243"/>
      <c r="E120" s="295"/>
      <c r="F120" s="293"/>
      <c r="G120" s="185"/>
      <c r="H120" s="185"/>
      <c r="I120" s="185"/>
      <c r="J120" s="185"/>
      <c r="K120" s="185"/>
      <c r="L120" s="185"/>
      <c r="M120" s="185"/>
      <c r="N120" s="185"/>
      <c r="O120" s="185"/>
      <c r="P120" s="185"/>
      <c r="Q120" s="377"/>
    </row>
    <row r="121" spans="1:17" ht="15.75">
      <c r="A121" s="296"/>
      <c r="B121" s="279" t="str">
        <f>'ATT H-2A'!B133</f>
        <v>Directly Assigned A&amp;G</v>
      </c>
      <c r="C121" s="233"/>
      <c r="D121" s="243"/>
      <c r="E121" s="251"/>
      <c r="F121" s="293"/>
      <c r="G121" s="185"/>
      <c r="H121" s="185"/>
      <c r="I121" s="185"/>
      <c r="J121" s="185"/>
      <c r="K121" s="185"/>
      <c r="L121" s="185"/>
      <c r="M121" s="185"/>
      <c r="N121" s="185"/>
      <c r="O121" s="185"/>
      <c r="P121" s="185"/>
      <c r="Q121" s="377"/>
    </row>
    <row r="122" spans="1:17" ht="15.75">
      <c r="A122" s="296">
        <f>'ATT H-2A'!A134</f>
        <v>76</v>
      </c>
      <c r="B122" s="311"/>
      <c r="C122" s="260" t="str">
        <f>'ATT H-2A'!C134</f>
        <v>Regulatory Commission Exp Account 928</v>
      </c>
      <c r="D122" s="242"/>
      <c r="E122" s="319" t="str">
        <f>'ATT H-2A'!E134</f>
        <v>(Note G)</v>
      </c>
      <c r="F122" s="314" t="str">
        <f>'ATT H-2A'!F134</f>
        <v>p323.189b</v>
      </c>
      <c r="G122" s="185"/>
      <c r="H122" s="185"/>
      <c r="I122" s="229"/>
      <c r="J122" s="185"/>
      <c r="K122" s="229" t="s">
        <v>529</v>
      </c>
      <c r="L122" s="185"/>
      <c r="M122" s="185"/>
      <c r="N122" s="185"/>
      <c r="O122" s="185"/>
      <c r="P122" s="185"/>
      <c r="Q122" s="377"/>
    </row>
    <row r="123" spans="1:17" ht="15.75">
      <c r="A123" s="287">
        <f>'ATT H-2A'!A135</f>
        <v>77</v>
      </c>
      <c r="B123" s="311"/>
      <c r="C123" s="260" t="str">
        <f>'ATT H-2A'!C135</f>
        <v>General Advertising Exp Account 930.1</v>
      </c>
      <c r="D123" s="336"/>
      <c r="E123" s="242" t="str">
        <f>'ATT H-2A'!E135</f>
        <v>(Note K)</v>
      </c>
      <c r="F123" s="314" t="str">
        <f>'ATT H-2A'!F135</f>
        <v>p323.191.b</v>
      </c>
      <c r="G123" s="185"/>
      <c r="H123" s="185"/>
      <c r="I123" s="185"/>
      <c r="J123" s="185"/>
      <c r="K123" s="185"/>
      <c r="L123" s="185"/>
      <c r="M123" s="185"/>
      <c r="N123" s="229" t="s">
        <v>529</v>
      </c>
      <c r="O123" s="229"/>
      <c r="P123" s="185"/>
      <c r="Q123" s="377"/>
    </row>
    <row r="124" spans="1:17" ht="15.75" hidden="1">
      <c r="A124" s="287">
        <f>'ATT H-2A'!A136</f>
        <v>78</v>
      </c>
      <c r="B124" s="311"/>
      <c r="C124" s="260" t="str">
        <f>'ATT H-2A'!C136</f>
        <v>Subtotal - Transmission Related</v>
      </c>
      <c r="D124" s="243"/>
      <c r="E124" s="312"/>
      <c r="F124" s="286" t="str">
        <f>'ATT H-2A'!F136</f>
        <v>(Line 76 + 77)</v>
      </c>
      <c r="G124" s="185"/>
      <c r="H124" s="185"/>
      <c r="I124" s="185"/>
      <c r="J124" s="185"/>
      <c r="K124" s="185"/>
      <c r="L124" s="185"/>
      <c r="M124" s="185"/>
      <c r="N124" s="185"/>
      <c r="O124" s="185"/>
      <c r="P124" s="185"/>
      <c r="Q124" s="377"/>
    </row>
    <row r="125" spans="1:17" ht="15.75" hidden="1">
      <c r="A125" s="287"/>
      <c r="B125" s="258"/>
      <c r="C125" s="279"/>
      <c r="D125" s="243"/>
      <c r="E125" s="295"/>
      <c r="F125" s="293"/>
      <c r="G125" s="185"/>
      <c r="H125" s="185"/>
      <c r="I125" s="185"/>
      <c r="J125" s="185"/>
      <c r="K125" s="185"/>
      <c r="L125" s="185"/>
      <c r="M125" s="185"/>
      <c r="N125" s="185"/>
      <c r="O125" s="185"/>
      <c r="P125" s="185"/>
      <c r="Q125" s="377"/>
    </row>
    <row r="126" spans="1:17" ht="15.75" hidden="1">
      <c r="A126" s="287">
        <f>'ATT H-2A'!A138</f>
        <v>79</v>
      </c>
      <c r="B126" s="311"/>
      <c r="C126" s="260" t="str">
        <f>'ATT H-2A'!C138</f>
        <v>Property Insurance Account 924</v>
      </c>
      <c r="D126" s="243"/>
      <c r="E126" s="234"/>
      <c r="F126" s="314" t="str">
        <f>'ATT H-2A'!F138</f>
        <v>p323.156b</v>
      </c>
      <c r="G126" s="185"/>
      <c r="H126" s="185"/>
      <c r="I126" s="185"/>
      <c r="J126" s="185"/>
      <c r="K126" s="185"/>
      <c r="L126" s="185"/>
      <c r="M126" s="185"/>
      <c r="N126" s="185"/>
      <c r="O126" s="185"/>
      <c r="P126" s="185"/>
      <c r="Q126" s="377"/>
    </row>
    <row r="127" spans="1:17" ht="15.75">
      <c r="A127" s="287">
        <f>'ATT H-2A'!A139</f>
        <v>80</v>
      </c>
      <c r="B127" s="311"/>
      <c r="C127" s="260" t="str">
        <f>'ATT H-2A'!C139</f>
        <v>General Advertising Exp Account 930.1</v>
      </c>
      <c r="D127" s="243"/>
      <c r="E127" s="242" t="str">
        <f>'ATT H-2A'!E139</f>
        <v>(Note F)</v>
      </c>
      <c r="F127" s="314" t="str">
        <f>'ATT H-2A'!F139</f>
        <v>p323.191.b</v>
      </c>
      <c r="G127" s="185"/>
      <c r="H127" s="185"/>
      <c r="I127" s="185"/>
      <c r="J127" s="185"/>
      <c r="K127" s="185"/>
      <c r="L127" s="229" t="s">
        <v>529</v>
      </c>
      <c r="M127" s="185"/>
      <c r="N127" s="185"/>
      <c r="O127" s="185"/>
      <c r="P127" s="185"/>
      <c r="Q127" s="377"/>
    </row>
    <row r="128" spans="1:17" ht="15.75" hidden="1">
      <c r="A128" s="296">
        <f>'ATT H-2A'!A140</f>
        <v>81</v>
      </c>
      <c r="B128" s="311"/>
      <c r="C128" s="260" t="str">
        <f>'ATT H-2A'!C140</f>
        <v>Total</v>
      </c>
      <c r="D128" s="243"/>
      <c r="E128" s="234"/>
      <c r="F128" s="286" t="str">
        <f>'ATT H-2A'!F140</f>
        <v>(Line 79 + 80)</v>
      </c>
      <c r="G128" s="185"/>
      <c r="H128" s="185"/>
      <c r="I128" s="185"/>
      <c r="J128" s="185"/>
      <c r="K128" s="185"/>
      <c r="L128" s="185"/>
      <c r="M128" s="185"/>
      <c r="N128" s="185"/>
      <c r="O128" s="185"/>
      <c r="P128" s="185"/>
      <c r="Q128" s="377"/>
    </row>
    <row r="129" spans="1:17" ht="15.75" hidden="1">
      <c r="A129" s="287">
        <f>'ATT H-2A'!A141</f>
        <v>82</v>
      </c>
      <c r="B129" s="277"/>
      <c r="C129" s="260" t="str">
        <f>'ATT H-2A'!C141</f>
        <v>Net Plant Allocation Factor</v>
      </c>
      <c r="D129" s="257"/>
      <c r="E129" s="258"/>
      <c r="F129" s="286" t="str">
        <f>'ATT H-2A'!F141</f>
        <v>(Line 18)</v>
      </c>
      <c r="G129" s="185"/>
      <c r="H129" s="185"/>
      <c r="I129" s="185"/>
      <c r="J129" s="185"/>
      <c r="K129" s="185"/>
      <c r="L129" s="185"/>
      <c r="M129" s="185"/>
      <c r="N129" s="185"/>
      <c r="O129" s="185"/>
      <c r="P129" s="185"/>
      <c r="Q129" s="377"/>
    </row>
    <row r="130" spans="1:17" ht="15.75" hidden="1">
      <c r="A130" s="296">
        <f>'ATT H-2A'!A142</f>
        <v>83</v>
      </c>
      <c r="B130" s="277"/>
      <c r="C130" s="279" t="str">
        <f>'ATT H-2A'!C142</f>
        <v>A&amp;G Directly Assigned to Transmission</v>
      </c>
      <c r="D130" s="243"/>
      <c r="E130" s="251"/>
      <c r="F130" s="286" t="str">
        <f>'ATT H-2A'!F142</f>
        <v>(Line 81 * 82)</v>
      </c>
      <c r="G130" s="185"/>
      <c r="H130" s="185"/>
      <c r="I130" s="185"/>
      <c r="J130" s="185"/>
      <c r="K130" s="185"/>
      <c r="L130" s="185"/>
      <c r="M130" s="185"/>
      <c r="N130" s="185"/>
      <c r="O130" s="185"/>
      <c r="P130" s="185"/>
      <c r="Q130" s="377"/>
    </row>
    <row r="131" spans="1:17" ht="15.75" hidden="1">
      <c r="A131" s="287"/>
      <c r="B131" s="258"/>
      <c r="C131" s="279"/>
      <c r="D131" s="243"/>
      <c r="E131" s="295"/>
      <c r="F131" s="293"/>
      <c r="G131" s="185"/>
      <c r="H131" s="185"/>
      <c r="I131" s="185"/>
      <c r="J131" s="185"/>
      <c r="K131" s="185"/>
      <c r="L131" s="185"/>
      <c r="M131" s="185"/>
      <c r="N131" s="185"/>
      <c r="O131" s="185"/>
      <c r="P131" s="185"/>
      <c r="Q131" s="377"/>
    </row>
    <row r="132" spans="1:17" ht="15.75" hidden="1">
      <c r="A132" s="287">
        <f>'ATT H-2A'!A144</f>
        <v>84</v>
      </c>
      <c r="B132" s="258"/>
      <c r="C132" s="279" t="str">
        <f>'ATT H-2A'!C144</f>
        <v>Total Transmission O&amp;M</v>
      </c>
      <c r="D132" s="243"/>
      <c r="E132" s="251"/>
      <c r="F132" s="331" t="str">
        <f>'ATT H-2A'!F144</f>
        <v>(Line 66 + 75 + 78 + 83)</v>
      </c>
      <c r="G132" s="185"/>
      <c r="H132" s="185"/>
      <c r="I132" s="185"/>
      <c r="J132" s="185"/>
      <c r="K132" s="185"/>
      <c r="L132" s="185"/>
      <c r="M132" s="185"/>
      <c r="N132" s="185"/>
      <c r="O132" s="185"/>
      <c r="P132" s="185"/>
      <c r="Q132" s="377"/>
    </row>
    <row r="133" spans="1:17" ht="15.75" hidden="1">
      <c r="A133" s="287"/>
      <c r="B133" s="258"/>
      <c r="C133" s="279"/>
      <c r="D133" s="243"/>
      <c r="E133" s="295"/>
      <c r="F133" s="293"/>
      <c r="G133" s="185"/>
      <c r="H133" s="185"/>
      <c r="I133" s="185"/>
      <c r="J133" s="185"/>
      <c r="K133" s="185"/>
      <c r="L133" s="185"/>
      <c r="M133" s="185"/>
      <c r="N133" s="185"/>
      <c r="O133" s="185"/>
      <c r="P133" s="185"/>
      <c r="Q133" s="377"/>
    </row>
    <row r="134" spans="1:17" ht="15.75" hidden="1">
      <c r="A134" s="299" t="str">
        <f>'ATT H-2A'!A146</f>
        <v>Depreciation &amp; Amortization Expense</v>
      </c>
      <c r="B134" s="244"/>
      <c r="C134" s="320"/>
      <c r="D134" s="245"/>
      <c r="E134" s="246"/>
      <c r="F134" s="300"/>
      <c r="G134" s="185"/>
      <c r="H134" s="185"/>
      <c r="I134" s="185"/>
      <c r="J134" s="185"/>
      <c r="K134" s="185"/>
      <c r="L134" s="185"/>
      <c r="M134" s="185"/>
      <c r="N134" s="185"/>
      <c r="O134" s="185"/>
      <c r="P134" s="185"/>
      <c r="Q134" s="377"/>
    </row>
    <row r="135" spans="1:17" ht="15.75" hidden="1">
      <c r="A135" s="287"/>
      <c r="B135" s="258"/>
      <c r="C135" s="279"/>
      <c r="D135" s="243"/>
      <c r="E135" s="295"/>
      <c r="F135" s="293"/>
      <c r="G135" s="185"/>
      <c r="H135" s="185"/>
      <c r="I135" s="185"/>
      <c r="J135" s="185"/>
      <c r="K135" s="185"/>
      <c r="L135" s="185"/>
      <c r="M135" s="185"/>
      <c r="N135" s="185"/>
      <c r="O135" s="185"/>
      <c r="P135" s="185"/>
      <c r="Q135" s="377"/>
    </row>
    <row r="136" spans="1:17" ht="15.75">
      <c r="A136" s="289"/>
      <c r="B136" s="273" t="str">
        <f>'ATT H-2A'!B148</f>
        <v>Depreciation Expense</v>
      </c>
      <c r="C136" s="269"/>
      <c r="D136" s="152"/>
      <c r="E136" s="234"/>
      <c r="F136" s="323"/>
      <c r="G136" s="185"/>
      <c r="H136" s="185"/>
      <c r="I136" s="185"/>
      <c r="J136" s="185"/>
      <c r="K136" s="185"/>
      <c r="L136" s="185"/>
      <c r="M136" s="185"/>
      <c r="N136" s="185"/>
      <c r="O136" s="185"/>
      <c r="P136" s="185"/>
      <c r="Q136" s="377"/>
    </row>
    <row r="137" spans="1:17" ht="15.75" hidden="1">
      <c r="A137" s="287">
        <f>'ATT H-2A'!A149</f>
        <v>85</v>
      </c>
      <c r="B137" s="324"/>
      <c r="C137" s="261" t="str">
        <f>'ATT H-2A'!C149</f>
        <v>Transmission Depreciation Expense</v>
      </c>
      <c r="D137" s="152"/>
      <c r="E137" s="258"/>
      <c r="F137" s="310" t="str">
        <f>'ATT H-2A'!F149</f>
        <v>Attachment 5</v>
      </c>
      <c r="G137" s="185"/>
      <c r="H137" s="185"/>
      <c r="I137" s="185"/>
      <c r="J137" s="185"/>
      <c r="K137" s="185"/>
      <c r="L137" s="185"/>
      <c r="M137" s="185"/>
      <c r="N137" s="185"/>
      <c r="O137" s="185"/>
      <c r="P137" s="185"/>
      <c r="Q137" s="377"/>
    </row>
    <row r="138" spans="1:17" ht="15.75" hidden="1">
      <c r="A138" s="287"/>
      <c r="B138" s="258"/>
      <c r="C138" s="279"/>
      <c r="D138" s="243"/>
      <c r="E138" s="295"/>
      <c r="F138" s="293"/>
      <c r="G138" s="185"/>
      <c r="H138" s="185"/>
      <c r="I138" s="185"/>
      <c r="J138" s="185"/>
      <c r="K138" s="185"/>
      <c r="L138" s="185"/>
      <c r="M138" s="185"/>
      <c r="N138" s="185"/>
      <c r="O138" s="185"/>
      <c r="P138" s="185"/>
      <c r="Q138" s="377"/>
    </row>
    <row r="139" spans="1:17" ht="15.75" hidden="1">
      <c r="A139" s="287">
        <f>'ATT H-2A'!A152</f>
        <v>86</v>
      </c>
      <c r="B139" s="324"/>
      <c r="C139" s="261" t="str">
        <f>'ATT H-2A'!C152</f>
        <v>General Depreciation</v>
      </c>
      <c r="D139" s="152"/>
      <c r="E139" s="258"/>
      <c r="F139" s="310" t="str">
        <f>'ATT H-2A'!F152</f>
        <v>Attachment 5</v>
      </c>
      <c r="G139" s="185"/>
      <c r="H139" s="185"/>
      <c r="I139" s="185"/>
      <c r="J139" s="185"/>
      <c r="K139" s="185"/>
      <c r="L139" s="185"/>
      <c r="M139" s="185"/>
      <c r="N139" s="185"/>
      <c r="O139" s="185"/>
      <c r="P139" s="185"/>
      <c r="Q139" s="377"/>
    </row>
    <row r="140" spans="1:17" ht="15.75">
      <c r="A140" s="287">
        <f>'ATT H-2A'!A153</f>
        <v>87</v>
      </c>
      <c r="B140" s="324"/>
      <c r="C140" s="261" t="str">
        <f>'ATT H-2A'!C153</f>
        <v>Intangible Amortization</v>
      </c>
      <c r="D140" s="152"/>
      <c r="E140" s="340" t="str">
        <f>'ATT H-2A'!E153</f>
        <v>(Note A)</v>
      </c>
      <c r="F140" s="314" t="str">
        <f>'ATT H-2A'!F153</f>
        <v>Attachment 5</v>
      </c>
      <c r="G140" s="229" t="s">
        <v>529</v>
      </c>
      <c r="H140" s="185"/>
      <c r="J140" s="185"/>
      <c r="K140" s="185"/>
      <c r="L140" s="185"/>
      <c r="M140" s="185"/>
      <c r="N140" s="185"/>
      <c r="O140" s="185"/>
      <c r="P140" s="185"/>
      <c r="Q140" s="377"/>
    </row>
    <row r="141" spans="1:17" ht="15.75" hidden="1">
      <c r="A141" s="287">
        <f>'ATT H-2A'!A154</f>
        <v>88</v>
      </c>
      <c r="B141" s="324"/>
      <c r="C141" s="261" t="str">
        <f>'ATT H-2A'!C154</f>
        <v>Total</v>
      </c>
      <c r="D141" s="152"/>
      <c r="E141" s="258"/>
      <c r="F141" s="286" t="str">
        <f>'ATT H-2A'!F154</f>
        <v>(Line 86 + 87)</v>
      </c>
      <c r="G141" s="185"/>
      <c r="H141" s="185"/>
      <c r="J141" s="185"/>
      <c r="K141" s="185"/>
      <c r="L141" s="185"/>
      <c r="M141" s="185"/>
      <c r="N141" s="185"/>
      <c r="O141" s="185"/>
      <c r="P141" s="185"/>
      <c r="Q141" s="377"/>
    </row>
    <row r="142" spans="1:17" ht="15.75" hidden="1">
      <c r="A142" s="287">
        <f>'ATT H-2A'!A155</f>
        <v>89</v>
      </c>
      <c r="B142" s="324"/>
      <c r="C142" s="260" t="str">
        <f>'ATT H-2A'!C155</f>
        <v>Wage &amp; Salary Allocation Factor</v>
      </c>
      <c r="D142" s="257"/>
      <c r="E142" s="234"/>
      <c r="F142" s="321" t="str">
        <f>'ATT H-2A'!F155</f>
        <v>Line 5</v>
      </c>
      <c r="G142" s="185"/>
      <c r="H142" s="185"/>
      <c r="J142" s="185"/>
      <c r="K142" s="185"/>
      <c r="L142" s="185"/>
      <c r="M142" s="185"/>
      <c r="N142" s="185"/>
      <c r="O142" s="185"/>
      <c r="P142" s="185"/>
      <c r="Q142" s="377"/>
    </row>
    <row r="143" spans="1:17" ht="15.75" hidden="1">
      <c r="A143" s="287">
        <f>'ATT H-2A'!A156</f>
        <v>90</v>
      </c>
      <c r="B143" s="324"/>
      <c r="C143" s="273" t="str">
        <f>'ATT H-2A'!C156</f>
        <v>General Depreciation Allocated to Transmission</v>
      </c>
      <c r="D143" s="152"/>
      <c r="E143" s="258"/>
      <c r="F143" s="286" t="str">
        <f>'ATT H-2A'!F156</f>
        <v>(Line 88 * 89)</v>
      </c>
      <c r="G143" s="185"/>
      <c r="H143" s="185"/>
      <c r="J143" s="185"/>
      <c r="K143" s="185"/>
      <c r="L143" s="185"/>
      <c r="M143" s="185"/>
      <c r="N143" s="185"/>
      <c r="O143" s="185"/>
      <c r="P143" s="185"/>
      <c r="Q143" s="377"/>
    </row>
    <row r="144" spans="1:17" ht="15.75" hidden="1">
      <c r="A144" s="287"/>
      <c r="B144" s="258"/>
      <c r="C144" s="279"/>
      <c r="D144" s="243"/>
      <c r="E144" s="295"/>
      <c r="F144" s="293"/>
      <c r="G144" s="185"/>
      <c r="H144" s="185"/>
      <c r="J144" s="185"/>
      <c r="K144" s="185"/>
      <c r="L144" s="185"/>
      <c r="M144" s="185"/>
      <c r="N144" s="185"/>
      <c r="O144" s="185"/>
      <c r="P144" s="185"/>
      <c r="Q144" s="377"/>
    </row>
    <row r="145" spans="1:17" ht="15.75">
      <c r="A145" s="287">
        <f>'ATT H-2A'!A158</f>
        <v>91</v>
      </c>
      <c r="B145" s="311"/>
      <c r="C145" s="260" t="str">
        <f>'ATT H-2A'!C158</f>
        <v>Common Depreciation - Electric Only</v>
      </c>
      <c r="D145" s="243"/>
      <c r="E145" s="325" t="str">
        <f>'ATT H-2A'!E158</f>
        <v>(Note A)</v>
      </c>
      <c r="F145" s="314" t="str">
        <f>'ATT H-2A'!F158</f>
        <v>Attachment 5</v>
      </c>
      <c r="G145" s="229" t="s">
        <v>529</v>
      </c>
      <c r="H145" s="185"/>
      <c r="J145" s="185"/>
      <c r="K145" s="185"/>
      <c r="L145" s="185"/>
      <c r="M145" s="185"/>
      <c r="N145" s="185"/>
      <c r="O145" s="185"/>
      <c r="P145" s="185"/>
      <c r="Q145" s="377"/>
    </row>
    <row r="146" spans="1:17" ht="15.75">
      <c r="A146" s="296">
        <f>'ATT H-2A'!A159</f>
        <v>92</v>
      </c>
      <c r="B146" s="311"/>
      <c r="C146" s="260" t="str">
        <f>'ATT H-2A'!C159</f>
        <v>Common Amortization - Electric Only</v>
      </c>
      <c r="D146" s="243"/>
      <c r="E146" s="325" t="str">
        <f>'ATT H-2A'!E159</f>
        <v>(Note A)</v>
      </c>
      <c r="F146" s="314" t="str">
        <f>'ATT H-2A'!F159</f>
        <v>Attachment 5</v>
      </c>
      <c r="G146" s="229" t="s">
        <v>529</v>
      </c>
      <c r="H146" s="185"/>
      <c r="J146" s="185"/>
      <c r="K146" s="185"/>
      <c r="L146" s="185"/>
      <c r="M146" s="185"/>
      <c r="N146" s="185"/>
      <c r="O146" s="185"/>
      <c r="P146" s="185"/>
      <c r="Q146" s="377"/>
    </row>
    <row r="147" spans="1:17" ht="15.75" hidden="1">
      <c r="A147" s="296">
        <f>'ATT H-2A'!A160</f>
        <v>93</v>
      </c>
      <c r="B147" s="311"/>
      <c r="C147" s="260" t="str">
        <f>'ATT H-2A'!C160</f>
        <v>Total</v>
      </c>
      <c r="D147" s="243"/>
      <c r="E147" s="277"/>
      <c r="F147" s="286" t="str">
        <f>'ATT H-2A'!F160</f>
        <v>(Line 91 + 92)</v>
      </c>
      <c r="G147" s="185"/>
      <c r="H147" s="185"/>
      <c r="I147" s="185"/>
      <c r="J147" s="185"/>
      <c r="K147" s="185"/>
      <c r="L147" s="185"/>
      <c r="M147" s="185"/>
      <c r="N147" s="185"/>
      <c r="O147" s="185"/>
      <c r="P147" s="185"/>
      <c r="Q147" s="377"/>
    </row>
    <row r="148" spans="1:17" ht="15.75" hidden="1">
      <c r="A148" s="287">
        <f>'ATT H-2A'!A161</f>
        <v>94</v>
      </c>
      <c r="B148" s="311"/>
      <c r="C148" s="260" t="str">
        <f>'ATT H-2A'!C161</f>
        <v>Wage &amp; Salary Allocation Factor</v>
      </c>
      <c r="D148" s="257"/>
      <c r="E148" s="234"/>
      <c r="F148" s="321" t="str">
        <f>'ATT H-2A'!F161</f>
        <v>(Line 5)</v>
      </c>
      <c r="G148" s="185"/>
      <c r="H148" s="185"/>
      <c r="I148" s="185"/>
      <c r="J148" s="185"/>
      <c r="K148" s="185"/>
      <c r="L148" s="185"/>
      <c r="M148" s="185"/>
      <c r="N148" s="185"/>
      <c r="O148" s="185"/>
      <c r="P148" s="185"/>
      <c r="Q148" s="377"/>
    </row>
    <row r="149" spans="1:17" ht="15.75" hidden="1">
      <c r="A149" s="287">
        <f>'ATT H-2A'!A162</f>
        <v>95</v>
      </c>
      <c r="B149" s="311"/>
      <c r="C149" s="273" t="str">
        <f>'ATT H-2A'!C162</f>
        <v>Common Depreciation - Electric Only Allocated to Transmission</v>
      </c>
      <c r="D149" s="243"/>
      <c r="E149" s="277"/>
      <c r="F149" s="286" t="str">
        <f>'ATT H-2A'!F162</f>
        <v>(Line 93 * 94)</v>
      </c>
      <c r="G149" s="185"/>
      <c r="H149" s="185"/>
      <c r="I149" s="185"/>
      <c r="J149" s="185"/>
      <c r="K149" s="185"/>
      <c r="L149" s="185"/>
      <c r="M149" s="185"/>
      <c r="N149" s="185"/>
      <c r="O149" s="185"/>
      <c r="P149" s="185"/>
      <c r="Q149" s="377"/>
    </row>
    <row r="150" spans="1:17" ht="15.75" hidden="1">
      <c r="A150" s="287"/>
      <c r="B150" s="258"/>
      <c r="C150" s="279"/>
      <c r="D150" s="243"/>
      <c r="E150" s="295"/>
      <c r="F150" s="293"/>
      <c r="G150" s="185"/>
      <c r="H150" s="185"/>
      <c r="I150" s="185"/>
      <c r="J150" s="185"/>
      <c r="K150" s="185"/>
      <c r="L150" s="185"/>
      <c r="M150" s="185"/>
      <c r="N150" s="185"/>
      <c r="O150" s="185"/>
      <c r="P150" s="185"/>
      <c r="Q150" s="377"/>
    </row>
    <row r="151" spans="1:17" ht="15.75" hidden="1">
      <c r="A151" s="287"/>
      <c r="B151" s="258"/>
      <c r="C151" s="279"/>
      <c r="D151" s="243"/>
      <c r="E151" s="295"/>
      <c r="F151" s="293"/>
      <c r="G151" s="185"/>
      <c r="H151" s="185"/>
      <c r="I151" s="185"/>
      <c r="J151" s="185"/>
      <c r="K151" s="185"/>
      <c r="L151" s="185"/>
      <c r="M151" s="185"/>
      <c r="N151" s="185"/>
      <c r="O151" s="185"/>
      <c r="P151" s="185"/>
      <c r="Q151" s="377"/>
    </row>
    <row r="152" spans="1:17" ht="15.75" hidden="1">
      <c r="A152" s="287">
        <f>'ATT H-2A'!A165</f>
        <v>96</v>
      </c>
      <c r="B152" s="273" t="str">
        <f>'ATT H-2A'!B165</f>
        <v>Total Transmission Depreciation &amp; Amortization</v>
      </c>
      <c r="C152" s="273"/>
      <c r="D152" s="266"/>
      <c r="E152" s="339"/>
      <c r="F152" s="331" t="str">
        <f>'ATT H-2A'!F165</f>
        <v>(Line 85 + 85a + 90 + 95)</v>
      </c>
      <c r="G152" s="185"/>
      <c r="H152" s="185"/>
      <c r="I152" s="185"/>
      <c r="J152" s="185"/>
      <c r="K152" s="185"/>
      <c r="L152" s="185"/>
      <c r="M152" s="185"/>
      <c r="N152" s="185"/>
      <c r="O152" s="185"/>
      <c r="P152" s="185"/>
      <c r="Q152" s="377"/>
    </row>
    <row r="153" spans="1:17" ht="15.75" hidden="1">
      <c r="A153" s="287"/>
      <c r="B153" s="258"/>
      <c r="C153" s="279"/>
      <c r="D153" s="243"/>
      <c r="E153" s="295"/>
      <c r="F153" s="293"/>
      <c r="G153" s="185"/>
      <c r="H153" s="185"/>
      <c r="I153" s="185"/>
      <c r="J153" s="185"/>
      <c r="K153" s="185"/>
      <c r="L153" s="185"/>
      <c r="M153" s="185"/>
      <c r="N153" s="185"/>
      <c r="O153" s="185"/>
      <c r="P153" s="185"/>
      <c r="Q153" s="377"/>
    </row>
    <row r="154" spans="1:17" ht="15.75" hidden="1">
      <c r="A154" s="299" t="str">
        <f>'ATT H-2A'!A167</f>
        <v xml:space="preserve">Taxes Other than Income                                                    </v>
      </c>
      <c r="B154" s="244"/>
      <c r="C154" s="320"/>
      <c r="D154" s="245"/>
      <c r="E154" s="246"/>
      <c r="F154" s="300"/>
      <c r="G154" s="185"/>
      <c r="H154" s="185"/>
      <c r="I154" s="185"/>
      <c r="J154" s="185"/>
      <c r="K154" s="185"/>
      <c r="L154" s="185"/>
      <c r="M154" s="185"/>
      <c r="N154" s="185"/>
      <c r="O154" s="185"/>
      <c r="P154" s="185"/>
      <c r="Q154" s="377"/>
    </row>
    <row r="155" spans="1:17" ht="15.75" hidden="1">
      <c r="A155" s="287"/>
      <c r="B155" s="258"/>
      <c r="C155" s="279"/>
      <c r="D155" s="243"/>
      <c r="E155" s="295"/>
      <c r="F155" s="293"/>
      <c r="G155" s="185"/>
      <c r="H155" s="185"/>
      <c r="I155" s="185"/>
      <c r="J155" s="185"/>
      <c r="K155" s="185"/>
      <c r="L155" s="185"/>
      <c r="M155" s="185"/>
      <c r="N155" s="185"/>
      <c r="O155" s="185"/>
      <c r="P155" s="185"/>
      <c r="Q155" s="377"/>
    </row>
    <row r="156" spans="1:17" ht="15.75" hidden="1">
      <c r="A156" s="296">
        <f>'ATT H-2A'!A169</f>
        <v>97</v>
      </c>
      <c r="B156" s="252" t="str">
        <f>'ATT H-2A'!B169</f>
        <v>Taxes Other than Income</v>
      </c>
      <c r="C156" s="309"/>
      <c r="D156" s="152"/>
      <c r="E156" s="234"/>
      <c r="F156" s="291" t="str">
        <f>'ATT H-2A'!F169</f>
        <v>Exhibit B</v>
      </c>
      <c r="G156" s="185"/>
      <c r="H156" s="185"/>
      <c r="I156" s="185"/>
      <c r="J156" s="185"/>
      <c r="K156" s="185"/>
      <c r="L156" s="185"/>
      <c r="M156" s="185"/>
      <c r="N156" s="185"/>
      <c r="O156" s="185"/>
      <c r="P156" s="185"/>
      <c r="Q156" s="377"/>
    </row>
    <row r="157" spans="1:17" ht="15.75" hidden="1">
      <c r="A157" s="287"/>
      <c r="B157" s="258"/>
      <c r="C157" s="279"/>
      <c r="D157" s="243"/>
      <c r="E157" s="295"/>
      <c r="F157" s="293"/>
      <c r="G157" s="185"/>
      <c r="H157" s="185"/>
      <c r="I157" s="185"/>
      <c r="J157" s="185"/>
      <c r="K157" s="185"/>
      <c r="L157" s="185"/>
      <c r="M157" s="185"/>
      <c r="N157" s="185"/>
      <c r="O157" s="185"/>
      <c r="P157" s="185"/>
      <c r="Q157" s="377"/>
    </row>
    <row r="158" spans="1:17" ht="15.75" hidden="1">
      <c r="A158" s="296">
        <f>'ATT H-2A'!A171</f>
        <v>98</v>
      </c>
      <c r="B158" s="279" t="str">
        <f>'ATT H-2A'!B171</f>
        <v>Total Taxes Other than Income</v>
      </c>
      <c r="C158" s="279"/>
      <c r="D158" s="266"/>
      <c r="E158" s="267"/>
      <c r="F158" s="331" t="str">
        <f>'ATT H-2A'!F171</f>
        <v>(Line 97)</v>
      </c>
      <c r="G158" s="185"/>
      <c r="H158" s="185"/>
      <c r="I158" s="185"/>
      <c r="J158" s="185"/>
      <c r="K158" s="185"/>
      <c r="L158" s="185"/>
      <c r="M158" s="185"/>
      <c r="N158" s="185"/>
      <c r="O158" s="185"/>
      <c r="P158" s="185"/>
      <c r="Q158" s="377"/>
    </row>
    <row r="159" spans="1:17" ht="15.75" hidden="1">
      <c r="A159" s="287"/>
      <c r="B159" s="258"/>
      <c r="C159" s="279"/>
      <c r="D159" s="243"/>
      <c r="E159" s="295"/>
      <c r="F159" s="293"/>
      <c r="G159" s="185"/>
      <c r="H159" s="185"/>
      <c r="I159" s="185"/>
      <c r="J159" s="185"/>
      <c r="K159" s="185"/>
      <c r="L159" s="185"/>
      <c r="M159" s="185"/>
      <c r="N159" s="185"/>
      <c r="O159" s="185"/>
      <c r="P159" s="185"/>
      <c r="Q159" s="377"/>
    </row>
    <row r="160" spans="1:17" ht="15.75" hidden="1">
      <c r="A160" s="299" t="str">
        <f>'ATT H-2A'!A173</f>
        <v>Return / Capitalization Calculations</v>
      </c>
      <c r="B160" s="244"/>
      <c r="C160" s="320"/>
      <c r="D160" s="245"/>
      <c r="E160" s="246"/>
      <c r="F160" s="300"/>
      <c r="G160" s="185"/>
      <c r="H160" s="185"/>
      <c r="I160" s="185"/>
      <c r="J160" s="185"/>
      <c r="K160" s="185"/>
      <c r="L160" s="185"/>
      <c r="M160" s="185"/>
      <c r="N160" s="185"/>
      <c r="O160" s="185"/>
      <c r="P160" s="185"/>
      <c r="Q160" s="377"/>
    </row>
    <row r="161" spans="1:17" ht="15.75" hidden="1">
      <c r="A161" s="287"/>
      <c r="B161" s="258"/>
      <c r="C161" s="279"/>
      <c r="D161" s="243"/>
      <c r="E161" s="295"/>
      <c r="F161" s="293"/>
      <c r="G161" s="185"/>
      <c r="H161" s="185"/>
      <c r="I161" s="185"/>
      <c r="J161" s="185"/>
      <c r="K161" s="185"/>
      <c r="L161" s="185"/>
      <c r="M161" s="185"/>
      <c r="N161" s="185"/>
      <c r="O161" s="185"/>
      <c r="P161" s="185"/>
      <c r="Q161" s="377"/>
    </row>
    <row r="162" spans="1:17" ht="15.75" hidden="1">
      <c r="A162" s="296"/>
      <c r="B162" s="262" t="str">
        <f>'ATT H-2A'!B175</f>
        <v>Long Term Interest</v>
      </c>
      <c r="C162" s="152"/>
      <c r="D162" s="152"/>
      <c r="E162" s="251"/>
      <c r="F162" s="290"/>
      <c r="G162" s="185"/>
      <c r="H162" s="185"/>
      <c r="I162" s="185"/>
      <c r="J162" s="185"/>
      <c r="K162" s="185"/>
      <c r="L162" s="185"/>
      <c r="M162" s="185"/>
      <c r="N162" s="185"/>
      <c r="O162" s="185"/>
      <c r="P162" s="185"/>
      <c r="Q162" s="377"/>
    </row>
    <row r="163" spans="1:17" ht="15.75" hidden="1">
      <c r="A163" s="296">
        <f>'ATT H-2A'!A176</f>
        <v>99</v>
      </c>
      <c r="B163" s="262"/>
      <c r="C163" s="152" t="str">
        <f>'ATT H-2A'!C176</f>
        <v>Long Term Interest</v>
      </c>
      <c r="D163" s="152"/>
      <c r="E163" s="251"/>
      <c r="F163" s="286" t="str">
        <f>'ATT H-2A'!F176</f>
        <v>p117.62c through 67c</v>
      </c>
      <c r="G163" s="185"/>
      <c r="H163" s="185"/>
      <c r="I163" s="185"/>
      <c r="J163" s="185"/>
      <c r="K163" s="185"/>
      <c r="L163" s="185"/>
      <c r="M163" s="185"/>
      <c r="N163" s="185"/>
      <c r="O163" s="185"/>
      <c r="P163" s="185"/>
      <c r="Q163" s="377"/>
    </row>
    <row r="164" spans="1:17" ht="15.75" hidden="1">
      <c r="A164" s="287">
        <f>'ATT H-2A'!A177</f>
        <v>100</v>
      </c>
      <c r="B164" s="258"/>
      <c r="C164" s="341" t="str">
        <f>'ATT H-2A'!C177</f>
        <v xml:space="preserve">    Less LTD Interest on Securitization Bonds</v>
      </c>
      <c r="D164" s="152"/>
      <c r="E164" s="251"/>
      <c r="F164" s="297" t="str">
        <f>'ATT H-2A'!F177</f>
        <v>Attachment 8</v>
      </c>
      <c r="G164" s="185"/>
      <c r="H164" s="185"/>
      <c r="I164" s="185"/>
      <c r="J164" s="185"/>
      <c r="K164" s="185"/>
      <c r="L164" s="185"/>
      <c r="M164" s="185"/>
      <c r="N164" s="185"/>
      <c r="O164" s="185"/>
      <c r="P164" s="185"/>
      <c r="Q164" s="377"/>
    </row>
    <row r="165" spans="1:17" ht="15.75" hidden="1">
      <c r="A165" s="287">
        <f>'ATT H-2A'!A178</f>
        <v>101</v>
      </c>
      <c r="B165" s="258"/>
      <c r="C165" s="262" t="str">
        <f>'ATT H-2A'!C178</f>
        <v>Long Term Interest</v>
      </c>
      <c r="D165" s="152"/>
      <c r="E165" s="234"/>
      <c r="F165" s="286" t="str">
        <f>'ATT H-2A'!F178</f>
        <v>(Line 99 - 100)</v>
      </c>
      <c r="G165" s="185"/>
      <c r="H165" s="185"/>
      <c r="I165" s="185"/>
      <c r="J165" s="185"/>
      <c r="K165" s="185"/>
      <c r="L165" s="185"/>
      <c r="M165" s="185"/>
      <c r="N165" s="185"/>
      <c r="O165" s="185"/>
      <c r="P165" s="185"/>
      <c r="Q165" s="377"/>
    </row>
    <row r="166" spans="1:17" ht="15.75" hidden="1">
      <c r="A166" s="287"/>
      <c r="B166" s="258"/>
      <c r="C166" s="279"/>
      <c r="D166" s="243"/>
      <c r="E166" s="295"/>
      <c r="F166" s="293"/>
      <c r="G166" s="185"/>
      <c r="H166" s="185"/>
      <c r="I166" s="185"/>
      <c r="J166" s="185"/>
      <c r="K166" s="185"/>
      <c r="L166" s="185"/>
      <c r="M166" s="185"/>
      <c r="N166" s="185"/>
      <c r="O166" s="185"/>
      <c r="P166" s="185"/>
      <c r="Q166" s="377"/>
    </row>
    <row r="167" spans="1:17" ht="15.75" hidden="1">
      <c r="A167" s="287">
        <f>'ATT H-2A'!A180</f>
        <v>102</v>
      </c>
      <c r="B167" s="262" t="str">
        <f>'ATT H-2A'!B180</f>
        <v>Preferred Dividends</v>
      </c>
      <c r="C167" s="152"/>
      <c r="D167" s="152"/>
      <c r="E167" s="251" t="str">
        <f>'ATT H-2A'!E180</f>
        <v xml:space="preserve"> enter positive</v>
      </c>
      <c r="F167" s="286" t="str">
        <f>'ATT H-2A'!F180</f>
        <v>p118.29c</v>
      </c>
      <c r="G167" s="185"/>
      <c r="H167" s="185"/>
      <c r="I167" s="185"/>
      <c r="J167" s="185"/>
      <c r="K167" s="185"/>
      <c r="L167" s="185"/>
      <c r="M167" s="185"/>
      <c r="N167" s="185"/>
      <c r="O167" s="185"/>
      <c r="P167" s="185"/>
      <c r="Q167" s="377"/>
    </row>
    <row r="168" spans="1:17" ht="15.75" hidden="1">
      <c r="A168" s="287"/>
      <c r="B168" s="258"/>
      <c r="C168" s="279"/>
      <c r="D168" s="243"/>
      <c r="E168" s="295"/>
      <c r="F168" s="293"/>
      <c r="G168" s="185"/>
      <c r="H168" s="185"/>
      <c r="I168" s="185"/>
      <c r="J168" s="185"/>
      <c r="K168" s="185"/>
      <c r="L168" s="185"/>
      <c r="M168" s="185"/>
      <c r="N168" s="185"/>
      <c r="O168" s="185"/>
      <c r="P168" s="185"/>
      <c r="Q168" s="377"/>
    </row>
    <row r="169" spans="1:17" ht="15.75" hidden="1">
      <c r="A169" s="287"/>
      <c r="B169" s="265" t="str">
        <f>'ATT H-2A'!B182</f>
        <v>Common Stock</v>
      </c>
      <c r="C169" s="152"/>
      <c r="D169" s="152"/>
      <c r="E169" s="251"/>
      <c r="F169" s="286"/>
      <c r="G169" s="185"/>
      <c r="H169" s="185"/>
      <c r="I169" s="185"/>
      <c r="J169" s="185"/>
      <c r="K169" s="185"/>
      <c r="L169" s="185"/>
      <c r="M169" s="185"/>
      <c r="N169" s="185"/>
      <c r="O169" s="185"/>
      <c r="P169" s="185"/>
      <c r="Q169" s="377"/>
    </row>
    <row r="170" spans="1:17" ht="15.75" hidden="1">
      <c r="A170" s="287">
        <f>'ATT H-2A'!A183</f>
        <v>103</v>
      </c>
      <c r="B170" s="258"/>
      <c r="C170" s="249" t="str">
        <f>'ATT H-2A'!C183</f>
        <v>Proprietary Capital</v>
      </c>
      <c r="D170" s="249"/>
      <c r="E170" s="251"/>
      <c r="F170" s="286" t="str">
        <f>'ATT H-2A'!F183</f>
        <v>p112.16c</v>
      </c>
      <c r="G170" s="185"/>
      <c r="H170" s="185"/>
      <c r="I170" s="185"/>
      <c r="J170" s="185"/>
      <c r="K170" s="185"/>
      <c r="L170" s="185"/>
      <c r="M170" s="185"/>
      <c r="N170" s="185"/>
      <c r="O170" s="185"/>
      <c r="P170" s="185"/>
      <c r="Q170" s="377"/>
    </row>
    <row r="171" spans="1:17" ht="15.75" hidden="1">
      <c r="A171" s="296">
        <f>'ATT H-2A'!A184</f>
        <v>104</v>
      </c>
      <c r="B171" s="277"/>
      <c r="C171" s="253" t="str">
        <f>'ATT H-2A'!C184</f>
        <v xml:space="preserve">    Less Preferred Stock</v>
      </c>
      <c r="D171" s="253"/>
      <c r="E171" s="295" t="str">
        <f>'ATT H-2A'!E184</f>
        <v>enter negative</v>
      </c>
      <c r="F171" s="293" t="str">
        <f>'ATT H-2A'!F184</f>
        <v>(Line 192)</v>
      </c>
      <c r="G171" s="185"/>
      <c r="H171" s="185"/>
      <c r="I171" s="185"/>
      <c r="J171" s="185"/>
      <c r="K171" s="185"/>
      <c r="L171" s="185"/>
      <c r="M171" s="185"/>
      <c r="N171" s="185"/>
      <c r="O171" s="185"/>
      <c r="P171" s="185"/>
      <c r="Q171" s="377"/>
    </row>
    <row r="172" spans="1:17" ht="15.75" hidden="1">
      <c r="A172" s="287">
        <f>'ATT H-2A'!A185</f>
        <v>105</v>
      </c>
      <c r="B172" s="277"/>
      <c r="C172" s="253" t="str">
        <f>'ATT H-2A'!C185</f>
        <v xml:space="preserve">    Plus Securitization Adjustment</v>
      </c>
      <c r="D172" s="295"/>
      <c r="E172" s="251"/>
      <c r="F172" s="297" t="str">
        <f>'ATT H-2A'!F185</f>
        <v>Attachment 8</v>
      </c>
      <c r="G172" s="185"/>
      <c r="H172" s="185"/>
      <c r="I172" s="185"/>
      <c r="J172" s="185"/>
      <c r="K172" s="185"/>
      <c r="L172" s="185"/>
      <c r="M172" s="185"/>
      <c r="N172" s="185"/>
      <c r="O172" s="185"/>
      <c r="P172" s="185"/>
      <c r="Q172" s="377"/>
    </row>
    <row r="173" spans="1:17" ht="15.75" hidden="1">
      <c r="A173" s="287">
        <f>'ATT H-2A'!A186</f>
        <v>105</v>
      </c>
      <c r="B173" s="277"/>
      <c r="C173" s="253" t="str">
        <f>'ATT H-2A'!C186</f>
        <v xml:space="preserve">    Less Account 216.1</v>
      </c>
      <c r="D173" s="253"/>
      <c r="E173" s="295" t="str">
        <f>'ATT H-2A'!E186</f>
        <v>enter negative</v>
      </c>
      <c r="F173" s="297" t="str">
        <f>'ATT H-2A'!F186</f>
        <v>p112.12c</v>
      </c>
      <c r="G173" s="185"/>
      <c r="H173" s="185"/>
      <c r="I173" s="185"/>
      <c r="J173" s="185"/>
      <c r="K173" s="185"/>
      <c r="L173" s="185"/>
      <c r="M173" s="185"/>
      <c r="N173" s="185"/>
      <c r="O173" s="185"/>
      <c r="P173" s="185"/>
      <c r="Q173" s="377"/>
    </row>
    <row r="174" spans="1:17" ht="15.75" hidden="1">
      <c r="A174" s="287">
        <f>'ATT H-2A'!A187</f>
        <v>106</v>
      </c>
      <c r="B174" s="277"/>
      <c r="C174" s="263" t="str">
        <f>'ATT H-2A'!C187</f>
        <v>Common Stock</v>
      </c>
      <c r="D174" s="253"/>
      <c r="E174" s="264"/>
      <c r="F174" s="286" t="str">
        <f>'ATT H-2A'!F187</f>
        <v>(Sum Lines 103 to 105)</v>
      </c>
      <c r="G174" s="185"/>
      <c r="H174" s="185"/>
      <c r="I174" s="185"/>
      <c r="J174" s="185"/>
      <c r="K174" s="185"/>
      <c r="L174" s="185"/>
      <c r="M174" s="185"/>
      <c r="N174" s="185"/>
      <c r="O174" s="185"/>
      <c r="P174" s="185"/>
      <c r="Q174" s="377"/>
    </row>
    <row r="175" spans="1:17" ht="15.75" hidden="1">
      <c r="A175" s="287"/>
      <c r="B175" s="258"/>
      <c r="C175" s="279"/>
      <c r="D175" s="243"/>
      <c r="E175" s="295"/>
      <c r="F175" s="293"/>
      <c r="G175" s="185"/>
      <c r="H175" s="185"/>
      <c r="I175" s="185"/>
      <c r="J175" s="185"/>
      <c r="K175" s="185"/>
      <c r="L175" s="185"/>
      <c r="M175" s="185"/>
      <c r="N175" s="185"/>
      <c r="O175" s="185"/>
      <c r="P175" s="185"/>
      <c r="Q175" s="377"/>
    </row>
    <row r="176" spans="1:17" ht="15.75" hidden="1">
      <c r="A176" s="287"/>
      <c r="B176" s="265" t="str">
        <f>'ATT H-2A'!B189</f>
        <v>Capitalization</v>
      </c>
      <c r="C176" s="152"/>
      <c r="D176" s="152"/>
      <c r="E176" s="251"/>
      <c r="F176" s="286"/>
      <c r="G176" s="185"/>
      <c r="H176" s="185"/>
      <c r="I176" s="185"/>
      <c r="J176" s="185"/>
      <c r="K176" s="185"/>
      <c r="L176" s="185"/>
      <c r="M176" s="185"/>
      <c r="N176" s="185"/>
      <c r="O176" s="185"/>
      <c r="P176" s="185"/>
      <c r="Q176" s="377"/>
    </row>
    <row r="177" spans="1:17" ht="15.75" hidden="1">
      <c r="A177" s="287">
        <f>'ATT H-2A'!A190</f>
        <v>107</v>
      </c>
      <c r="B177" s="258"/>
      <c r="C177" s="250" t="str">
        <f>'ATT H-2A'!C190</f>
        <v>Long Term Debt</v>
      </c>
      <c r="D177" s="152"/>
      <c r="E177" s="258"/>
      <c r="F177" s="326" t="str">
        <f>'ATT H-2A'!F190</f>
        <v>p112.18d through 21d</v>
      </c>
      <c r="G177" s="185"/>
      <c r="H177" s="185"/>
      <c r="I177" s="185"/>
      <c r="J177" s="185"/>
      <c r="K177" s="185"/>
      <c r="L177" s="185"/>
      <c r="M177" s="185"/>
      <c r="N177" s="185"/>
      <c r="O177" s="185"/>
      <c r="P177" s="185"/>
      <c r="Q177" s="377"/>
    </row>
    <row r="178" spans="1:17" ht="15.75" hidden="1">
      <c r="A178" s="296">
        <f>'ATT H-2A'!A191</f>
        <v>108</v>
      </c>
      <c r="B178" s="258"/>
      <c r="C178" s="250" t="str">
        <f>'ATT H-2A'!C191</f>
        <v xml:space="preserve">      Less Loss on Reacquired Debt </v>
      </c>
      <c r="D178" s="152"/>
      <c r="E178" s="251" t="str">
        <f>'ATT H-2A'!E191</f>
        <v>enter negative</v>
      </c>
      <c r="F178" s="322" t="str">
        <f>'ATT H-2A'!F191</f>
        <v>p111.81.c</v>
      </c>
      <c r="G178" s="185"/>
      <c r="H178" s="185"/>
      <c r="I178" s="185"/>
      <c r="J178" s="185"/>
      <c r="K178" s="185"/>
      <c r="L178" s="185"/>
      <c r="M178" s="185"/>
      <c r="N178" s="185"/>
      <c r="O178" s="185"/>
      <c r="P178" s="185"/>
      <c r="Q178" s="377"/>
    </row>
    <row r="179" spans="1:17" ht="15.75" hidden="1">
      <c r="A179" s="296">
        <f>'ATT H-2A'!A192</f>
        <v>109</v>
      </c>
      <c r="B179" s="258"/>
      <c r="C179" s="250" t="str">
        <f>'ATT H-2A'!C192</f>
        <v xml:space="preserve">      Plus Gain on Reacquired Debt</v>
      </c>
      <c r="D179" s="152"/>
      <c r="E179" s="258" t="str">
        <f>'ATT H-2A'!E192</f>
        <v>enter positive</v>
      </c>
      <c r="F179" s="322" t="str">
        <f>'ATT H-2A'!F192</f>
        <v>p113.61c</v>
      </c>
      <c r="G179" s="185"/>
      <c r="H179" s="185"/>
      <c r="I179" s="185"/>
      <c r="J179" s="185"/>
      <c r="K179" s="185"/>
      <c r="L179" s="185"/>
      <c r="M179" s="185"/>
      <c r="N179" s="185"/>
      <c r="O179" s="185"/>
      <c r="P179" s="185"/>
      <c r="Q179" s="377"/>
    </row>
    <row r="180" spans="1:17" ht="15.75" hidden="1">
      <c r="A180" s="287">
        <f>'ATT H-2A'!A194</f>
        <v>111</v>
      </c>
      <c r="B180" s="258"/>
      <c r="C180" s="269" t="str">
        <f>'ATT H-2A'!C194</f>
        <v xml:space="preserve">      Less LTD on Securitization Bonds</v>
      </c>
      <c r="D180" s="269"/>
      <c r="E180" s="251" t="str">
        <f>'ATT H-2A'!E194</f>
        <v>enter negative</v>
      </c>
      <c r="F180" s="297" t="str">
        <f>'ATT H-2A'!F194</f>
        <v>Attachment 8</v>
      </c>
      <c r="G180" s="185"/>
      <c r="H180" s="185"/>
      <c r="I180" s="185"/>
      <c r="J180" s="185"/>
      <c r="K180" s="185"/>
      <c r="L180" s="185"/>
      <c r="M180" s="185"/>
      <c r="N180" s="185"/>
      <c r="O180" s="185"/>
      <c r="P180" s="185"/>
      <c r="Q180" s="377"/>
    </row>
    <row r="181" spans="1:17" ht="15.75" hidden="1">
      <c r="A181" s="287">
        <f>'ATT H-2A'!A195</f>
        <v>112</v>
      </c>
      <c r="B181" s="277"/>
      <c r="C181" s="254" t="str">
        <f>'ATT H-2A'!C195</f>
        <v>Total Long Term Debt</v>
      </c>
      <c r="D181" s="152"/>
      <c r="E181" s="264"/>
      <c r="F181" s="286" t="str">
        <f>'ATT H-2A'!F195</f>
        <v>(Sum Lines 107 to 111)</v>
      </c>
      <c r="G181" s="185"/>
      <c r="H181" s="185"/>
      <c r="I181" s="185"/>
      <c r="J181" s="185"/>
      <c r="K181" s="185"/>
      <c r="L181" s="185"/>
      <c r="M181" s="185"/>
      <c r="N181" s="185"/>
      <c r="O181" s="185"/>
      <c r="P181" s="185"/>
      <c r="Q181" s="377"/>
    </row>
    <row r="182" spans="1:17" ht="15.75" hidden="1">
      <c r="A182" s="287">
        <f>'ATT H-2A'!A196</f>
        <v>113</v>
      </c>
      <c r="B182" s="258"/>
      <c r="C182" s="250" t="str">
        <f>'ATT H-2A'!C196</f>
        <v>Preferred Stock</v>
      </c>
      <c r="D182" s="152"/>
      <c r="E182" s="258"/>
      <c r="F182" s="326" t="str">
        <f>'ATT H-2A'!F196</f>
        <v>p112.3c</v>
      </c>
      <c r="G182" s="185"/>
      <c r="H182" s="185"/>
      <c r="I182" s="185"/>
      <c r="J182" s="185"/>
      <c r="K182" s="185"/>
      <c r="L182" s="185"/>
      <c r="M182" s="185"/>
      <c r="N182" s="185"/>
      <c r="O182" s="185"/>
      <c r="P182" s="185"/>
      <c r="Q182" s="377"/>
    </row>
    <row r="183" spans="1:17" ht="15.75" hidden="1">
      <c r="A183" s="287">
        <f>'ATT H-2A'!A197</f>
        <v>114</v>
      </c>
      <c r="B183" s="258"/>
      <c r="C183" s="250" t="str">
        <f>'ATT H-2A'!C197</f>
        <v>Common Stock</v>
      </c>
      <c r="D183" s="152"/>
      <c r="E183" s="234"/>
      <c r="F183" s="286" t="str">
        <f>'ATT H-2A'!F197</f>
        <v>(Line 106)</v>
      </c>
      <c r="G183" s="185"/>
      <c r="H183" s="185"/>
      <c r="I183" s="185"/>
      <c r="J183" s="185"/>
      <c r="K183" s="185"/>
      <c r="L183" s="185"/>
      <c r="M183" s="185"/>
      <c r="N183" s="185"/>
      <c r="O183" s="185"/>
      <c r="P183" s="185"/>
      <c r="Q183" s="377"/>
    </row>
    <row r="184" spans="1:17" ht="15.75" hidden="1">
      <c r="A184" s="287">
        <f>'ATT H-2A'!A198</f>
        <v>115</v>
      </c>
      <c r="B184" s="258"/>
      <c r="C184" s="265" t="str">
        <f>'ATT H-2A'!C198</f>
        <v>Total  Capitalization</v>
      </c>
      <c r="D184" s="152"/>
      <c r="E184" s="234"/>
      <c r="F184" s="286" t="str">
        <f>'ATT H-2A'!F198</f>
        <v>(Sum Lines 112 to 114)</v>
      </c>
      <c r="G184" s="185"/>
      <c r="H184" s="185"/>
      <c r="I184" s="185"/>
      <c r="J184" s="185"/>
      <c r="K184" s="185"/>
      <c r="L184" s="185"/>
      <c r="M184" s="185"/>
      <c r="N184" s="185"/>
      <c r="O184" s="185"/>
      <c r="P184" s="185"/>
      <c r="Q184" s="377"/>
    </row>
    <row r="185" spans="1:17" ht="15.75" hidden="1">
      <c r="A185" s="287"/>
      <c r="B185" s="258"/>
      <c r="C185" s="279"/>
      <c r="D185" s="243"/>
      <c r="E185" s="295"/>
      <c r="F185" s="293"/>
      <c r="G185" s="185"/>
      <c r="H185" s="185"/>
      <c r="I185" s="185"/>
      <c r="J185" s="185"/>
      <c r="K185" s="185"/>
      <c r="L185" s="185"/>
      <c r="M185" s="185"/>
      <c r="N185" s="185"/>
      <c r="O185" s="185"/>
      <c r="P185" s="185"/>
      <c r="Q185" s="377"/>
    </row>
    <row r="186" spans="1:17" ht="15.75" hidden="1">
      <c r="A186" s="296">
        <f>'ATT H-2A'!A200</f>
        <v>116</v>
      </c>
      <c r="B186" s="258"/>
      <c r="C186" s="261" t="str">
        <f>'ATT H-2A'!C200</f>
        <v>Debt %</v>
      </c>
      <c r="D186" s="254" t="str">
        <f>'ATT H-2A'!D200</f>
        <v>Total Long Term Debt</v>
      </c>
      <c r="E186" s="234"/>
      <c r="F186" s="286" t="str">
        <f>'ATT H-2A'!F200</f>
        <v>(Line 112 / 115)</v>
      </c>
      <c r="G186" s="185"/>
      <c r="H186" s="185"/>
      <c r="I186" s="185"/>
      <c r="J186" s="185"/>
      <c r="K186" s="185"/>
      <c r="L186" s="185"/>
      <c r="M186" s="185"/>
      <c r="N186" s="185"/>
      <c r="O186" s="185"/>
      <c r="P186" s="185"/>
      <c r="Q186" s="377"/>
    </row>
    <row r="187" spans="1:17" ht="15.75" hidden="1">
      <c r="A187" s="296">
        <f>'ATT H-2A'!A201</f>
        <v>117</v>
      </c>
      <c r="B187" s="258"/>
      <c r="C187" s="261" t="str">
        <f>'ATT H-2A'!C201</f>
        <v>Preferred %</v>
      </c>
      <c r="D187" s="250" t="str">
        <f>'ATT H-2A'!D201</f>
        <v>Preferred Stock</v>
      </c>
      <c r="E187" s="234"/>
      <c r="F187" s="286" t="str">
        <f>'ATT H-2A'!F201</f>
        <v>(Line 113 / 115)</v>
      </c>
      <c r="G187" s="185"/>
      <c r="H187" s="185"/>
      <c r="I187" s="185"/>
      <c r="J187" s="185"/>
      <c r="K187" s="185"/>
      <c r="L187" s="185"/>
      <c r="M187" s="185"/>
      <c r="N187" s="185"/>
      <c r="O187" s="185"/>
      <c r="P187" s="185"/>
      <c r="Q187" s="377"/>
    </row>
    <row r="188" spans="1:17" ht="15.75" hidden="1">
      <c r="A188" s="296">
        <f>'ATT H-2A'!A202</f>
        <v>118</v>
      </c>
      <c r="B188" s="258"/>
      <c r="C188" s="261" t="str">
        <f>'ATT H-2A'!C202</f>
        <v>Common %</v>
      </c>
      <c r="D188" s="250" t="str">
        <f>'ATT H-2A'!D202</f>
        <v>Common Stock</v>
      </c>
      <c r="E188" s="234"/>
      <c r="F188" s="286" t="str">
        <f>'ATT H-2A'!F202</f>
        <v>(Line 114 / 115)</v>
      </c>
      <c r="G188" s="185"/>
      <c r="H188" s="185"/>
      <c r="I188" s="185"/>
      <c r="J188" s="185"/>
      <c r="K188" s="185"/>
      <c r="L188" s="185"/>
      <c r="M188" s="185"/>
      <c r="N188" s="185"/>
      <c r="O188" s="185"/>
      <c r="P188" s="185"/>
      <c r="Q188" s="377"/>
    </row>
    <row r="189" spans="1:17" ht="15.75" hidden="1">
      <c r="A189" s="287"/>
      <c r="B189" s="258"/>
      <c r="C189" s="279"/>
      <c r="D189" s="243"/>
      <c r="E189" s="295"/>
      <c r="F189" s="293"/>
      <c r="G189" s="185"/>
      <c r="H189" s="185"/>
      <c r="I189" s="185"/>
      <c r="J189" s="185"/>
      <c r="K189" s="185"/>
      <c r="L189" s="185"/>
      <c r="M189" s="185"/>
      <c r="N189" s="185"/>
      <c r="O189" s="185"/>
      <c r="P189" s="185"/>
      <c r="Q189" s="377"/>
    </row>
    <row r="190" spans="1:17" ht="15.75" hidden="1">
      <c r="A190" s="296">
        <f>'ATT H-2A'!A204</f>
        <v>119</v>
      </c>
      <c r="B190" s="258"/>
      <c r="C190" s="327" t="str">
        <f>'ATT H-2A'!C204</f>
        <v>Debt Cost</v>
      </c>
      <c r="D190" s="254" t="str">
        <f>'ATT H-2A'!D204</f>
        <v>Total Long Term Debt</v>
      </c>
      <c r="E190" s="234"/>
      <c r="F190" s="286" t="str">
        <f>'ATT H-2A'!F204</f>
        <v>(Line 101 / 112)</v>
      </c>
      <c r="G190" s="185"/>
      <c r="H190" s="185"/>
      <c r="I190" s="185"/>
      <c r="J190" s="185"/>
      <c r="K190" s="185"/>
      <c r="L190" s="185"/>
      <c r="M190" s="185"/>
      <c r="N190" s="185"/>
      <c r="O190" s="185"/>
      <c r="P190" s="185"/>
      <c r="Q190" s="377"/>
    </row>
    <row r="191" spans="1:17" ht="15.75" hidden="1">
      <c r="A191" s="296">
        <f>'ATT H-2A'!A205</f>
        <v>120</v>
      </c>
      <c r="B191" s="258"/>
      <c r="C191" s="327" t="str">
        <f>'ATT H-2A'!C205</f>
        <v>Preferred Cost</v>
      </c>
      <c r="D191" s="250" t="str">
        <f>'ATT H-2A'!D205</f>
        <v>Preferred Stock</v>
      </c>
      <c r="E191" s="234"/>
      <c r="F191" s="286" t="str">
        <f>'ATT H-2A'!F205</f>
        <v>(Line 102 / 113)</v>
      </c>
      <c r="G191" s="185"/>
      <c r="H191" s="185"/>
      <c r="I191" s="185"/>
      <c r="J191" s="185"/>
      <c r="K191" s="185"/>
      <c r="L191" s="185"/>
      <c r="M191" s="185"/>
      <c r="N191" s="185"/>
      <c r="O191" s="185"/>
      <c r="P191" s="185"/>
      <c r="Q191" s="377"/>
    </row>
    <row r="192" spans="1:17" ht="15.75" hidden="1">
      <c r="A192" s="296">
        <f>'ATT H-2A'!A206</f>
        <v>121</v>
      </c>
      <c r="B192" s="258"/>
      <c r="C192" s="327" t="str">
        <f>'ATT H-2A'!C206</f>
        <v>Common Cost</v>
      </c>
      <c r="D192" s="250" t="str">
        <f>'ATT H-2A'!D206</f>
        <v>Common Stock</v>
      </c>
      <c r="E192" s="282" t="str">
        <f>'ATT H-2A'!E206</f>
        <v>(Note J)</v>
      </c>
      <c r="F192" s="286" t="str">
        <f>'ATT H-2A'!F206</f>
        <v>Fixed</v>
      </c>
      <c r="G192" s="185"/>
      <c r="H192" s="185"/>
      <c r="I192" s="185"/>
      <c r="J192" s="185"/>
      <c r="K192" s="185"/>
      <c r="L192" s="185"/>
      <c r="M192" s="185"/>
      <c r="N192" s="185"/>
      <c r="O192" s="185"/>
      <c r="P192" s="185"/>
      <c r="Q192" s="377"/>
    </row>
    <row r="193" spans="1:17" ht="15.75" hidden="1">
      <c r="A193" s="287"/>
      <c r="B193" s="258"/>
      <c r="C193" s="279"/>
      <c r="D193" s="243"/>
      <c r="E193" s="295"/>
      <c r="F193" s="293"/>
      <c r="G193" s="185"/>
      <c r="H193" s="185"/>
      <c r="I193" s="185"/>
      <c r="J193" s="185"/>
      <c r="K193" s="185"/>
      <c r="L193" s="185"/>
      <c r="M193" s="185"/>
      <c r="N193" s="185"/>
      <c r="O193" s="185"/>
      <c r="P193" s="185"/>
      <c r="Q193" s="377"/>
    </row>
    <row r="194" spans="1:17" ht="15.75" hidden="1">
      <c r="A194" s="296">
        <f>'ATT H-2A'!A208</f>
        <v>122</v>
      </c>
      <c r="B194" s="258"/>
      <c r="C194" s="261" t="str">
        <f>'ATT H-2A'!C208</f>
        <v>Weighted Cost of Debt</v>
      </c>
      <c r="D194" s="254" t="str">
        <f>'ATT H-2A'!D208</f>
        <v>Total Long Term Debt (WCLTD)</v>
      </c>
      <c r="E194" s="234"/>
      <c r="F194" s="286" t="str">
        <f>'ATT H-2A'!F208</f>
        <v>(Line 116 * 119)</v>
      </c>
      <c r="G194" s="185"/>
      <c r="H194" s="185"/>
      <c r="I194" s="185"/>
      <c r="J194" s="185"/>
      <c r="K194" s="185"/>
      <c r="L194" s="185"/>
      <c r="M194" s="185"/>
      <c r="N194" s="185"/>
      <c r="O194" s="185"/>
      <c r="P194" s="185"/>
      <c r="Q194" s="377"/>
    </row>
    <row r="195" spans="1:17" ht="15.75" hidden="1">
      <c r="A195" s="296">
        <f>'ATT H-2A'!A209</f>
        <v>123</v>
      </c>
      <c r="B195" s="258"/>
      <c r="C195" s="261" t="str">
        <f>'ATT H-2A'!C209</f>
        <v>Weighted Cost of Preferred</v>
      </c>
      <c r="D195" s="250" t="str">
        <f>'ATT H-2A'!D209</f>
        <v>Preferred Stock</v>
      </c>
      <c r="E195" s="234"/>
      <c r="F195" s="286" t="str">
        <f>'ATT H-2A'!F209</f>
        <v>(Line 117 * 120)</v>
      </c>
      <c r="G195" s="185"/>
      <c r="H195" s="185"/>
      <c r="I195" s="185"/>
      <c r="J195" s="185"/>
      <c r="K195" s="185"/>
      <c r="L195" s="185"/>
      <c r="M195" s="185"/>
      <c r="N195" s="185"/>
      <c r="O195" s="185"/>
      <c r="P195" s="185"/>
      <c r="Q195" s="377"/>
    </row>
    <row r="196" spans="1:17" ht="15.75" hidden="1">
      <c r="A196" s="296">
        <f>'ATT H-2A'!A210</f>
        <v>124</v>
      </c>
      <c r="B196" s="258"/>
      <c r="C196" s="261" t="str">
        <f>'ATT H-2A'!C210</f>
        <v>Weighted Cost of Common</v>
      </c>
      <c r="D196" s="250" t="str">
        <f>'ATT H-2A'!D210</f>
        <v>Common Stock</v>
      </c>
      <c r="E196" s="234"/>
      <c r="F196" s="286" t="str">
        <f>'ATT H-2A'!F210</f>
        <v>(Line 118 * 121)</v>
      </c>
      <c r="G196" s="185"/>
      <c r="H196" s="185"/>
      <c r="I196" s="185"/>
      <c r="J196" s="185"/>
      <c r="K196" s="185"/>
      <c r="L196" s="185"/>
      <c r="M196" s="185"/>
      <c r="N196" s="185"/>
      <c r="O196" s="185"/>
      <c r="P196" s="185"/>
      <c r="Q196" s="377"/>
    </row>
    <row r="197" spans="1:17" ht="15.75" hidden="1">
      <c r="A197" s="287">
        <f>'ATT H-2A'!A211</f>
        <v>125</v>
      </c>
      <c r="B197" s="265" t="str">
        <f>'ATT H-2A'!B211</f>
        <v>Total Return ( R )</v>
      </c>
      <c r="C197" s="265"/>
      <c r="D197" s="266"/>
      <c r="E197" s="267"/>
      <c r="F197" s="286" t="str">
        <f>'ATT H-2A'!F211</f>
        <v>(Sum Lines 122 to 124)</v>
      </c>
      <c r="G197" s="185"/>
      <c r="H197" s="185"/>
      <c r="I197" s="185"/>
      <c r="J197" s="185"/>
      <c r="K197" s="185"/>
      <c r="L197" s="185"/>
      <c r="M197" s="185"/>
      <c r="N197" s="185"/>
      <c r="O197" s="185"/>
      <c r="P197" s="185"/>
      <c r="Q197" s="377"/>
    </row>
    <row r="198" spans="1:17" ht="15.75" hidden="1">
      <c r="A198" s="287"/>
      <c r="B198" s="258"/>
      <c r="C198" s="279"/>
      <c r="D198" s="243"/>
      <c r="E198" s="295"/>
      <c r="F198" s="293"/>
      <c r="G198" s="185"/>
      <c r="H198" s="185"/>
      <c r="I198" s="185"/>
      <c r="J198" s="185"/>
      <c r="K198" s="185"/>
      <c r="L198" s="185"/>
      <c r="M198" s="185"/>
      <c r="N198" s="185"/>
      <c r="O198" s="185"/>
      <c r="P198" s="185"/>
      <c r="Q198" s="377"/>
    </row>
    <row r="199" spans="1:17" ht="15.75" hidden="1">
      <c r="A199" s="287">
        <f>'ATT H-2A'!A213</f>
        <v>126</v>
      </c>
      <c r="B199" s="268" t="str">
        <f>'ATT H-2A'!B213</f>
        <v>Investment Return = Rate Base * Rate of Return</v>
      </c>
      <c r="C199" s="269"/>
      <c r="D199" s="266"/>
      <c r="E199" s="342"/>
      <c r="F199" s="331" t="str">
        <f>'ATT H-2A'!F213</f>
        <v>(Line 59 * 125)</v>
      </c>
      <c r="G199" s="185"/>
      <c r="H199" s="185"/>
      <c r="I199" s="185"/>
      <c r="J199" s="185"/>
      <c r="K199" s="185"/>
      <c r="L199" s="185"/>
      <c r="M199" s="185"/>
      <c r="N199" s="185"/>
      <c r="O199" s="185"/>
      <c r="P199" s="185"/>
      <c r="Q199" s="377"/>
    </row>
    <row r="200" spans="1:17" ht="15.75" hidden="1">
      <c r="A200" s="287"/>
      <c r="B200" s="258"/>
      <c r="C200" s="279"/>
      <c r="D200" s="243"/>
      <c r="E200" s="295"/>
      <c r="F200" s="293"/>
      <c r="G200" s="185"/>
      <c r="H200" s="185"/>
      <c r="I200" s="185"/>
      <c r="J200" s="185"/>
      <c r="K200" s="185"/>
      <c r="L200" s="185"/>
      <c r="M200" s="185"/>
      <c r="N200" s="185"/>
      <c r="O200" s="185"/>
      <c r="P200" s="185"/>
      <c r="Q200" s="377"/>
    </row>
    <row r="201" spans="1:17" ht="15.75" hidden="1">
      <c r="A201" s="299" t="str">
        <f>'ATT H-2A'!A215</f>
        <v xml:space="preserve">Composite Income Taxes                                                                                                       </v>
      </c>
      <c r="B201" s="244"/>
      <c r="C201" s="320"/>
      <c r="D201" s="245"/>
      <c r="E201" s="246"/>
      <c r="F201" s="300"/>
      <c r="G201" s="185"/>
      <c r="H201" s="185"/>
      <c r="I201" s="185"/>
      <c r="J201" s="185"/>
      <c r="K201" s="185"/>
      <c r="L201" s="185"/>
      <c r="M201" s="185"/>
      <c r="N201" s="185"/>
      <c r="O201" s="185"/>
      <c r="P201" s="185"/>
      <c r="Q201" s="377"/>
    </row>
    <row r="202" spans="1:17" ht="15.75" hidden="1">
      <c r="A202" s="287"/>
      <c r="B202" s="258"/>
      <c r="C202" s="279"/>
      <c r="D202" s="243"/>
      <c r="E202" s="295"/>
      <c r="F202" s="293"/>
      <c r="G202" s="185"/>
      <c r="H202" s="185"/>
      <c r="I202" s="185"/>
      <c r="J202" s="185"/>
      <c r="K202" s="185"/>
      <c r="L202" s="185"/>
      <c r="M202" s="185"/>
      <c r="N202" s="185"/>
      <c r="O202" s="185"/>
      <c r="P202" s="185"/>
      <c r="Q202" s="377"/>
    </row>
    <row r="203" spans="1:17" ht="15.75">
      <c r="A203" s="287" t="str">
        <f>'ATT H-2A'!A217</f>
        <v xml:space="preserve"> </v>
      </c>
      <c r="B203" s="268" t="str">
        <f>'ATT H-2A'!B217</f>
        <v>Income Tax Rates</v>
      </c>
      <c r="C203" s="152"/>
      <c r="D203" s="152"/>
      <c r="E203" s="251"/>
      <c r="F203" s="286"/>
      <c r="G203" s="185"/>
      <c r="H203" s="185"/>
      <c r="I203" s="185"/>
      <c r="J203" s="185"/>
      <c r="K203" s="185"/>
      <c r="L203" s="185"/>
      <c r="M203" s="185"/>
      <c r="N203" s="185"/>
      <c r="O203" s="185"/>
      <c r="P203" s="185"/>
      <c r="Q203" s="377"/>
    </row>
    <row r="204" spans="1:17" ht="15.75" hidden="1">
      <c r="A204" s="287">
        <f>'ATT H-2A'!A218</f>
        <v>127</v>
      </c>
      <c r="B204" s="258"/>
      <c r="C204" s="152" t="str">
        <f>'ATT H-2A'!C218</f>
        <v>FIT=Federal Income Tax Rate</v>
      </c>
      <c r="D204" s="152"/>
      <c r="E204" s="234"/>
      <c r="F204" s="293">
        <f>'ATT H-2A'!F218</f>
        <v>0</v>
      </c>
      <c r="G204" s="185"/>
      <c r="H204" s="185"/>
      <c r="I204" s="185"/>
      <c r="J204" s="185"/>
      <c r="K204" s="185"/>
      <c r="L204" s="185"/>
      <c r="M204" s="185"/>
      <c r="N204" s="185"/>
      <c r="O204" s="185"/>
      <c r="P204" s="185"/>
      <c r="Q204" s="377"/>
    </row>
    <row r="205" spans="1:17" ht="15.75">
      <c r="A205" s="287">
        <f>'ATT H-2A'!A219</f>
        <v>128</v>
      </c>
      <c r="B205" s="258"/>
      <c r="C205" s="328" t="str">
        <f>'ATT H-2A'!C219</f>
        <v>SIT=State Income Tax Rate or Composite</v>
      </c>
      <c r="D205" s="329"/>
      <c r="E205" s="282" t="str">
        <f>'ATT H-2A'!E219</f>
        <v>(Note I)</v>
      </c>
      <c r="F205" s="293">
        <f>'ATT H-2A'!F219</f>
        <v>0</v>
      </c>
      <c r="G205" s="185"/>
      <c r="H205" s="185"/>
      <c r="I205" s="185"/>
      <c r="J205" s="185"/>
      <c r="K205" s="185"/>
      <c r="L205" s="185"/>
      <c r="M205" s="229" t="s">
        <v>529</v>
      </c>
      <c r="N205" s="185"/>
      <c r="O205" s="185"/>
      <c r="P205" s="185"/>
      <c r="Q205" s="377"/>
    </row>
    <row r="206" spans="1:17" ht="15.75" hidden="1">
      <c r="A206" s="287">
        <f>'ATT H-2A'!A220</f>
        <v>129</v>
      </c>
      <c r="B206" s="258"/>
      <c r="C206" s="328" t="str">
        <f>'ATT H-2A'!C220</f>
        <v>p</v>
      </c>
      <c r="D206" s="328" t="str">
        <f>'ATT H-2A'!D220</f>
        <v>(percent of federal income tax deductible for state purposes)</v>
      </c>
      <c r="E206" s="234"/>
      <c r="F206" s="293" t="str">
        <f>'ATT H-2A'!F220</f>
        <v>Per State Tax Code</v>
      </c>
      <c r="G206" s="185"/>
      <c r="H206" s="185"/>
      <c r="I206" s="185"/>
      <c r="J206" s="185"/>
      <c r="K206" s="185"/>
      <c r="L206" s="185"/>
      <c r="M206" s="185"/>
      <c r="N206" s="185"/>
      <c r="O206" s="185"/>
      <c r="P206" s="185"/>
      <c r="Q206" s="377"/>
    </row>
    <row r="207" spans="1:17" ht="15.75" hidden="1">
      <c r="A207" s="287">
        <f>'ATT H-2A'!A221</f>
        <v>130</v>
      </c>
      <c r="B207" s="258"/>
      <c r="C207" s="328" t="str">
        <f>'ATT H-2A'!C221</f>
        <v>T</v>
      </c>
      <c r="D207" s="270" t="str">
        <f>'ATT H-2A'!D221</f>
        <v xml:space="preserve">     T=1 - {[(1 - SIT) * (1 - FIT)] / (1 - SIT * FIT * p)} =</v>
      </c>
      <c r="E207" s="234"/>
      <c r="F207" s="293"/>
      <c r="G207" s="185"/>
      <c r="H207" s="185"/>
      <c r="I207" s="185"/>
      <c r="J207" s="185"/>
      <c r="K207" s="185"/>
      <c r="L207" s="185"/>
      <c r="M207" s="185"/>
      <c r="N207" s="185"/>
      <c r="O207" s="185"/>
      <c r="P207" s="185"/>
      <c r="Q207" s="377"/>
    </row>
    <row r="208" spans="1:17" ht="15.75" hidden="1">
      <c r="A208" s="287">
        <f>'ATT H-2A'!A222</f>
        <v>131</v>
      </c>
      <c r="B208" s="258"/>
      <c r="C208" s="328" t="str">
        <f>'ATT H-2A'!C222</f>
        <v>T/ (1-T)</v>
      </c>
      <c r="D208" s="329"/>
      <c r="E208" s="234"/>
      <c r="F208" s="293"/>
      <c r="G208" s="185"/>
      <c r="H208" s="185"/>
      <c r="I208" s="185"/>
      <c r="J208" s="185"/>
      <c r="K208" s="185"/>
      <c r="L208" s="185"/>
      <c r="M208" s="185"/>
      <c r="N208" s="185"/>
      <c r="O208" s="185"/>
      <c r="P208" s="185"/>
      <c r="Q208" s="377"/>
    </row>
    <row r="209" spans="1:17" ht="15.75" hidden="1">
      <c r="A209" s="287"/>
      <c r="B209" s="258"/>
      <c r="C209" s="279"/>
      <c r="D209" s="243"/>
      <c r="E209" s="295"/>
      <c r="F209" s="293"/>
      <c r="G209" s="185"/>
      <c r="H209" s="185"/>
      <c r="I209" s="185"/>
      <c r="J209" s="185"/>
      <c r="K209" s="185"/>
      <c r="L209" s="185"/>
      <c r="M209" s="185"/>
      <c r="N209" s="185"/>
      <c r="O209" s="185"/>
      <c r="P209" s="185"/>
      <c r="Q209" s="377"/>
    </row>
    <row r="210" spans="1:17" ht="15.75">
      <c r="A210" s="287"/>
      <c r="B210" s="268" t="str">
        <f>'ATT H-2A'!B224</f>
        <v>ITC Adjustment</v>
      </c>
      <c r="C210" s="250"/>
      <c r="D210" s="152"/>
      <c r="E210" s="205"/>
      <c r="F210" s="286"/>
      <c r="G210" s="185"/>
      <c r="H210" s="185"/>
      <c r="I210" s="185"/>
      <c r="J210" s="185"/>
      <c r="K210" s="185"/>
      <c r="L210" s="185"/>
      <c r="M210" s="185"/>
      <c r="N210" s="185"/>
      <c r="O210" s="185"/>
      <c r="P210" s="185"/>
      <c r="Q210" s="377"/>
    </row>
    <row r="211" spans="1:17" ht="15.75">
      <c r="A211" s="287">
        <f>'ATT H-2A'!A225</f>
        <v>132</v>
      </c>
      <c r="B211" s="258"/>
      <c r="C211" s="250" t="str">
        <f>'ATT H-2A'!C225</f>
        <v>Amortized Investment Tax Credit</v>
      </c>
      <c r="D211" s="152"/>
      <c r="E211" s="325" t="str">
        <f>'ATT H-2A'!E224</f>
        <v>(Note I)</v>
      </c>
      <c r="F211" s="310" t="str">
        <f>'ATT H-2A'!F225</f>
        <v xml:space="preserve">p266.17f </v>
      </c>
      <c r="G211" s="185"/>
      <c r="H211" s="185"/>
      <c r="I211" s="185"/>
      <c r="J211" s="185"/>
      <c r="K211" s="185"/>
      <c r="L211" s="185"/>
      <c r="M211" s="229" t="s">
        <v>529</v>
      </c>
      <c r="N211" s="185"/>
      <c r="O211" s="185"/>
      <c r="P211" s="185"/>
      <c r="Q211" s="377"/>
    </row>
    <row r="212" spans="1:17" ht="15.75" hidden="1">
      <c r="A212" s="287">
        <f>'ATT H-2A'!A226</f>
        <v>133</v>
      </c>
      <c r="B212" s="258"/>
      <c r="C212" s="250" t="str">
        <f>'ATT H-2A'!C226</f>
        <v>T/(1-T)</v>
      </c>
      <c r="D212" s="152"/>
      <c r="E212" s="258"/>
      <c r="F212" s="286" t="str">
        <f>'ATT H-2A'!F226</f>
        <v>(Line 131)</v>
      </c>
      <c r="G212" s="185"/>
      <c r="H212" s="185"/>
      <c r="I212" s="185"/>
      <c r="J212" s="185"/>
      <c r="K212" s="185"/>
      <c r="L212" s="185"/>
      <c r="M212" s="185"/>
      <c r="N212" s="185"/>
      <c r="O212" s="185"/>
      <c r="P212" s="185"/>
      <c r="Q212" s="377"/>
    </row>
    <row r="213" spans="1:17" ht="15.75" hidden="1">
      <c r="A213" s="287">
        <f>'ATT H-2A'!A227</f>
        <v>134</v>
      </c>
      <c r="B213" s="258"/>
      <c r="C213" s="260" t="str">
        <f>'ATT H-2A'!C227</f>
        <v>Net Plant Allocation Factor</v>
      </c>
      <c r="D213" s="257"/>
      <c r="E213" s="258"/>
      <c r="F213" s="286" t="str">
        <f>'ATT H-2A'!F227</f>
        <v>(Line 18)</v>
      </c>
      <c r="G213" s="185"/>
      <c r="H213" s="185"/>
      <c r="I213" s="185"/>
      <c r="J213" s="185"/>
      <c r="K213" s="185"/>
      <c r="L213" s="185"/>
      <c r="M213" s="185"/>
      <c r="N213" s="185"/>
      <c r="O213" s="185"/>
      <c r="P213" s="185"/>
      <c r="Q213" s="377"/>
    </row>
    <row r="214" spans="1:17" ht="15.75" hidden="1">
      <c r="A214" s="287">
        <f>'ATT H-2A'!A228</f>
        <v>135</v>
      </c>
      <c r="B214" s="258"/>
      <c r="C214" s="273" t="str">
        <f>'ATT H-2A'!C228</f>
        <v>ITC Adjustment Allocated to Transmission</v>
      </c>
      <c r="D214" s="243"/>
      <c r="E214" s="325">
        <f>'ATT H-2A'!E228</f>
        <v>0</v>
      </c>
      <c r="F214" s="286" t="str">
        <f>'ATT H-2A'!F228</f>
        <v>[Line 129 * (1 + Line 130) * Line 131]</v>
      </c>
      <c r="G214" s="185"/>
      <c r="H214" s="185"/>
      <c r="I214" s="185"/>
      <c r="J214" s="185"/>
      <c r="K214" s="185"/>
      <c r="L214" s="185"/>
      <c r="M214" s="185"/>
      <c r="N214" s="185"/>
      <c r="O214" s="185"/>
      <c r="P214" s="185"/>
      <c r="Q214" s="377"/>
    </row>
    <row r="215" spans="1:17" ht="15.75" hidden="1">
      <c r="A215" s="287"/>
      <c r="B215" s="258"/>
      <c r="C215" s="279"/>
      <c r="D215" s="243"/>
      <c r="E215" s="295"/>
      <c r="F215" s="293"/>
      <c r="G215" s="185"/>
      <c r="H215" s="185"/>
      <c r="I215" s="185"/>
      <c r="J215" s="185"/>
      <c r="K215" s="185"/>
      <c r="L215" s="185"/>
      <c r="M215" s="185"/>
      <c r="N215" s="185"/>
      <c r="O215" s="185"/>
      <c r="P215" s="185"/>
      <c r="Q215" s="377"/>
    </row>
    <row r="216" spans="1:17" ht="15.75" hidden="1">
      <c r="A216" s="287"/>
      <c r="B216" s="258"/>
      <c r="C216" s="279"/>
      <c r="D216" s="243"/>
      <c r="E216" s="295"/>
      <c r="F216" s="293"/>
      <c r="G216" s="185"/>
      <c r="H216" s="185"/>
      <c r="I216" s="185"/>
      <c r="J216" s="185"/>
      <c r="K216" s="185"/>
      <c r="L216" s="185"/>
      <c r="M216" s="185"/>
      <c r="N216" s="185"/>
      <c r="O216" s="185"/>
      <c r="P216" s="185"/>
      <c r="Q216" s="377"/>
    </row>
    <row r="217" spans="1:17" ht="15.75" hidden="1">
      <c r="A217" s="287"/>
      <c r="B217" s="258"/>
      <c r="C217" s="279"/>
      <c r="D217" s="243"/>
      <c r="E217" s="295"/>
      <c r="F217" s="293"/>
      <c r="G217" s="185"/>
      <c r="H217" s="185"/>
      <c r="I217" s="185"/>
      <c r="J217" s="185"/>
      <c r="K217" s="185"/>
      <c r="L217" s="185"/>
      <c r="M217" s="185"/>
      <c r="N217" s="185"/>
      <c r="O217" s="185"/>
      <c r="P217" s="185"/>
      <c r="Q217" s="377"/>
    </row>
    <row r="218" spans="1:17" ht="15.75" hidden="1">
      <c r="A218" s="287">
        <f>'ATT H-2A'!A232</f>
        <v>136</v>
      </c>
      <c r="B218" s="318" t="str">
        <f>'ATT H-2A'!B232</f>
        <v xml:space="preserve">Income Tax Component = </v>
      </c>
      <c r="C218" s="269"/>
      <c r="D218" s="152" t="str">
        <f>'ATT H-2A'!D232</f>
        <v xml:space="preserve">     CIT=(T/1-T) * Investment Return * (1-(WCLTD/R)) =</v>
      </c>
      <c r="E218" s="251"/>
      <c r="F218" s="286" t="str">
        <f>'ATT H-2A'!F232</f>
        <v>[Line 131 * 126 * (1-(122 / 125))]</v>
      </c>
      <c r="G218" s="185"/>
      <c r="H218" s="185"/>
      <c r="I218" s="185"/>
      <c r="J218" s="185"/>
      <c r="K218" s="185"/>
      <c r="L218" s="185"/>
      <c r="M218" s="185"/>
      <c r="N218" s="185"/>
      <c r="O218" s="185"/>
      <c r="P218" s="185"/>
      <c r="Q218" s="377"/>
    </row>
    <row r="219" spans="1:17" ht="15.75" hidden="1">
      <c r="A219" s="287"/>
      <c r="B219" s="258"/>
      <c r="C219" s="279"/>
      <c r="D219" s="243"/>
      <c r="E219" s="295"/>
      <c r="F219" s="293"/>
      <c r="G219" s="185"/>
      <c r="H219" s="185"/>
      <c r="I219" s="185"/>
      <c r="J219" s="185"/>
      <c r="K219" s="185"/>
      <c r="L219" s="185"/>
      <c r="M219" s="185"/>
      <c r="N219" s="185"/>
      <c r="O219" s="185"/>
      <c r="P219" s="185"/>
      <c r="Q219" s="377"/>
    </row>
    <row r="220" spans="1:17" ht="15.75" hidden="1">
      <c r="A220" s="287">
        <f>'ATT H-2A'!A234</f>
        <v>137</v>
      </c>
      <c r="B220" s="268" t="str">
        <f>'ATT H-2A'!B234</f>
        <v>Total Income Taxes</v>
      </c>
      <c r="C220" s="268"/>
      <c r="D220" s="266"/>
      <c r="E220" s="267"/>
      <c r="F220" s="331" t="str">
        <f>'ATT H-2A'!F234</f>
        <v>(Line 135 + 136)</v>
      </c>
      <c r="G220" s="185"/>
      <c r="H220" s="185"/>
      <c r="I220" s="185"/>
      <c r="J220" s="185"/>
      <c r="K220" s="185"/>
      <c r="L220" s="185"/>
      <c r="M220" s="185"/>
      <c r="N220" s="185"/>
      <c r="O220" s="185"/>
      <c r="P220" s="185"/>
      <c r="Q220" s="377"/>
    </row>
    <row r="221" spans="1:17" ht="15.75" hidden="1">
      <c r="A221" s="287"/>
      <c r="B221" s="258"/>
      <c r="C221" s="279"/>
      <c r="D221" s="243"/>
      <c r="E221" s="295"/>
      <c r="F221" s="293"/>
      <c r="G221" s="185"/>
      <c r="H221" s="185"/>
      <c r="I221" s="185"/>
      <c r="J221" s="185"/>
      <c r="K221" s="185"/>
      <c r="L221" s="185"/>
      <c r="M221" s="185"/>
      <c r="N221" s="185"/>
      <c r="O221" s="185"/>
      <c r="P221" s="185"/>
      <c r="Q221" s="377"/>
    </row>
    <row r="222" spans="1:17" ht="15.75" hidden="1">
      <c r="A222" s="299" t="str">
        <f>'ATT H-2A'!A236</f>
        <v>REVENUE REQUIREMENT</v>
      </c>
      <c r="B222" s="244"/>
      <c r="C222" s="320"/>
      <c r="D222" s="245"/>
      <c r="E222" s="246"/>
      <c r="F222" s="300"/>
      <c r="G222" s="185"/>
      <c r="H222" s="185"/>
      <c r="I222" s="185"/>
      <c r="J222" s="185"/>
      <c r="K222" s="185"/>
      <c r="L222" s="185"/>
      <c r="M222" s="185"/>
      <c r="N222" s="185"/>
      <c r="O222" s="185"/>
      <c r="P222" s="185"/>
      <c r="Q222" s="377"/>
    </row>
    <row r="223" spans="1:17" ht="15.75" hidden="1">
      <c r="A223" s="287"/>
      <c r="B223" s="258"/>
      <c r="C223" s="279"/>
      <c r="D223" s="243"/>
      <c r="E223" s="295"/>
      <c r="F223" s="293"/>
      <c r="G223" s="185"/>
      <c r="H223" s="185"/>
      <c r="I223" s="185"/>
      <c r="J223" s="185"/>
      <c r="K223" s="185"/>
      <c r="L223" s="185"/>
      <c r="M223" s="185"/>
      <c r="N223" s="185"/>
      <c r="O223" s="185"/>
      <c r="P223" s="185"/>
      <c r="Q223" s="377"/>
    </row>
    <row r="224" spans="1:17" ht="15.75" hidden="1">
      <c r="A224" s="289"/>
      <c r="B224" s="318" t="str">
        <f>'ATT H-2A'!B238</f>
        <v>Summary</v>
      </c>
      <c r="C224" s="269"/>
      <c r="D224" s="269"/>
      <c r="E224" s="234"/>
      <c r="F224" s="290"/>
      <c r="G224" s="185"/>
      <c r="H224" s="185"/>
      <c r="I224" s="185"/>
      <c r="J224" s="185"/>
      <c r="K224" s="185"/>
      <c r="L224" s="185"/>
      <c r="M224" s="185"/>
      <c r="N224" s="185"/>
      <c r="O224" s="185"/>
      <c r="P224" s="185"/>
      <c r="Q224" s="377"/>
    </row>
    <row r="225" spans="1:17" ht="15.75" hidden="1">
      <c r="A225" s="289">
        <f>'ATT H-2A'!A239</f>
        <v>138</v>
      </c>
      <c r="B225" s="269"/>
      <c r="C225" s="269" t="str">
        <f>'ATT H-2A'!C239</f>
        <v>Net Property, Plant &amp; Equipment</v>
      </c>
      <c r="D225" s="269"/>
      <c r="E225" s="234"/>
      <c r="F225" s="286" t="str">
        <f>'ATT H-2A'!F239</f>
        <v>(Line 39)</v>
      </c>
      <c r="G225" s="185"/>
      <c r="H225" s="185"/>
      <c r="I225" s="185"/>
      <c r="J225" s="185"/>
      <c r="K225" s="185"/>
      <c r="L225" s="185"/>
      <c r="M225" s="185"/>
      <c r="N225" s="185"/>
      <c r="O225" s="185"/>
      <c r="P225" s="185"/>
      <c r="Q225" s="377"/>
    </row>
    <row r="226" spans="1:17" ht="15.75" hidden="1">
      <c r="A226" s="287">
        <f>'ATT H-2A'!A240</f>
        <v>139</v>
      </c>
      <c r="B226" s="269"/>
      <c r="C226" s="269" t="str">
        <f>'ATT H-2A'!C240</f>
        <v>Adjustment to Rate Base</v>
      </c>
      <c r="D226" s="269"/>
      <c r="E226" s="234"/>
      <c r="F226" s="286" t="str">
        <f>'ATT H-2A'!F240</f>
        <v>(Line 58)</v>
      </c>
      <c r="G226" s="185"/>
      <c r="H226" s="185"/>
      <c r="I226" s="185"/>
      <c r="J226" s="185"/>
      <c r="K226" s="185"/>
      <c r="L226" s="185"/>
      <c r="M226" s="185"/>
      <c r="N226" s="185"/>
      <c r="O226" s="185"/>
      <c r="P226" s="185"/>
      <c r="Q226" s="377"/>
    </row>
    <row r="227" spans="1:17" ht="15.75" hidden="1">
      <c r="A227" s="287">
        <f>'ATT H-2A'!A241</f>
        <v>140</v>
      </c>
      <c r="B227" s="258"/>
      <c r="C227" s="318" t="str">
        <f>'ATT H-2A'!C241</f>
        <v>Rate Base</v>
      </c>
      <c r="D227" s="343"/>
      <c r="E227" s="342"/>
      <c r="F227" s="286" t="str">
        <f>'ATT H-2A'!F241</f>
        <v>(Line 59)</v>
      </c>
      <c r="G227" s="185"/>
      <c r="H227" s="185"/>
      <c r="I227" s="185"/>
      <c r="J227" s="185"/>
      <c r="K227" s="185"/>
      <c r="L227" s="185"/>
      <c r="M227" s="185"/>
      <c r="N227" s="185"/>
      <c r="O227" s="185"/>
      <c r="P227" s="185"/>
      <c r="Q227" s="377"/>
    </row>
    <row r="228" spans="1:17" ht="15.75" hidden="1">
      <c r="A228" s="287"/>
      <c r="B228" s="258"/>
      <c r="C228" s="279"/>
      <c r="D228" s="243"/>
      <c r="E228" s="295"/>
      <c r="F228" s="293"/>
      <c r="G228" s="185"/>
      <c r="H228" s="185"/>
      <c r="I228" s="185"/>
      <c r="J228" s="185"/>
      <c r="K228" s="185"/>
      <c r="L228" s="185"/>
      <c r="M228" s="185"/>
      <c r="N228" s="185"/>
      <c r="O228" s="185"/>
      <c r="P228" s="185"/>
      <c r="Q228" s="377"/>
    </row>
    <row r="229" spans="1:17" ht="15.75" hidden="1">
      <c r="A229" s="287">
        <f>'ATT H-2A'!A243</f>
        <v>141</v>
      </c>
      <c r="B229" s="152"/>
      <c r="C229" s="254" t="str">
        <f>'ATT H-2A'!C243</f>
        <v>O&amp;M</v>
      </c>
      <c r="D229" s="152"/>
      <c r="E229" s="234"/>
      <c r="F229" s="286" t="str">
        <f>'ATT H-2A'!F243</f>
        <v>(Line 84)</v>
      </c>
      <c r="G229" s="185"/>
      <c r="H229" s="185"/>
      <c r="I229" s="185"/>
      <c r="J229" s="185"/>
      <c r="K229" s="185"/>
      <c r="L229" s="185"/>
      <c r="M229" s="185"/>
      <c r="N229" s="185"/>
      <c r="O229" s="185"/>
      <c r="P229" s="185"/>
      <c r="Q229" s="377"/>
    </row>
    <row r="230" spans="1:17" ht="15.75" hidden="1">
      <c r="A230" s="287">
        <f>'ATT H-2A'!A244</f>
        <v>142</v>
      </c>
      <c r="B230" s="152"/>
      <c r="C230" s="261" t="str">
        <f>'ATT H-2A'!C244</f>
        <v>Depreciation &amp; Amortization</v>
      </c>
      <c r="D230" s="152"/>
      <c r="E230" s="234"/>
      <c r="F230" s="286" t="str">
        <f>'ATT H-2A'!F244</f>
        <v>(Line 96)</v>
      </c>
      <c r="G230" s="185"/>
      <c r="H230" s="185"/>
      <c r="I230" s="185"/>
      <c r="J230" s="185"/>
      <c r="K230" s="185"/>
      <c r="L230" s="185"/>
      <c r="M230" s="185"/>
      <c r="N230" s="185"/>
      <c r="O230" s="185"/>
      <c r="P230" s="185"/>
      <c r="Q230" s="377"/>
    </row>
    <row r="231" spans="1:17" ht="15.75" hidden="1">
      <c r="A231" s="287">
        <f>'ATT H-2A'!A245</f>
        <v>143</v>
      </c>
      <c r="B231" s="258"/>
      <c r="C231" s="254" t="str">
        <f>'ATT H-2A'!C245</f>
        <v>Taxes Other than Income</v>
      </c>
      <c r="D231" s="243"/>
      <c r="E231" s="251"/>
      <c r="F231" s="286" t="str">
        <f>'ATT H-2A'!F245</f>
        <v>(Line 98)</v>
      </c>
      <c r="G231" s="185"/>
      <c r="H231" s="185"/>
      <c r="I231" s="185"/>
      <c r="J231" s="185"/>
      <c r="K231" s="185"/>
      <c r="L231" s="185"/>
      <c r="M231" s="185"/>
      <c r="N231" s="185"/>
      <c r="O231" s="185"/>
      <c r="P231" s="185"/>
      <c r="Q231" s="377"/>
    </row>
    <row r="232" spans="1:17" ht="15.75" hidden="1">
      <c r="A232" s="287">
        <f>'ATT H-2A'!A246</f>
        <v>144</v>
      </c>
      <c r="B232" s="258"/>
      <c r="C232" s="270" t="str">
        <f>'ATT H-2A'!C246</f>
        <v>Investment Return</v>
      </c>
      <c r="D232" s="243"/>
      <c r="E232" s="251"/>
      <c r="F232" s="286" t="str">
        <f>'ATT H-2A'!F246</f>
        <v>(Line 126)</v>
      </c>
      <c r="G232" s="185"/>
      <c r="H232" s="185"/>
      <c r="I232" s="185"/>
      <c r="J232" s="185"/>
      <c r="K232" s="185"/>
      <c r="L232" s="185"/>
      <c r="M232" s="185"/>
      <c r="N232" s="185"/>
      <c r="O232" s="185"/>
      <c r="P232" s="185"/>
      <c r="Q232" s="377"/>
    </row>
    <row r="233" spans="1:17" ht="15.75" hidden="1">
      <c r="A233" s="287">
        <f>'ATT H-2A'!A247</f>
        <v>145</v>
      </c>
      <c r="B233" s="258"/>
      <c r="C233" s="270" t="str">
        <f>'ATT H-2A'!C247</f>
        <v>Income Taxes</v>
      </c>
      <c r="D233" s="243"/>
      <c r="E233" s="251"/>
      <c r="F233" s="286" t="str">
        <f>'ATT H-2A'!F247</f>
        <v>(Line 137)</v>
      </c>
      <c r="G233" s="185"/>
      <c r="H233" s="185"/>
      <c r="I233" s="185"/>
      <c r="J233" s="185"/>
      <c r="K233" s="185"/>
      <c r="L233" s="185"/>
      <c r="M233" s="185"/>
      <c r="N233" s="185"/>
      <c r="O233" s="185"/>
      <c r="P233" s="185"/>
      <c r="Q233" s="377"/>
    </row>
    <row r="234" spans="1:17" ht="15.75" hidden="1">
      <c r="A234" s="287"/>
      <c r="B234" s="258"/>
      <c r="C234" s="270"/>
      <c r="D234" s="243"/>
      <c r="E234" s="251"/>
      <c r="F234" s="293"/>
      <c r="G234" s="185"/>
      <c r="H234" s="185"/>
      <c r="I234" s="185"/>
      <c r="J234" s="185"/>
      <c r="K234" s="185"/>
      <c r="L234" s="185"/>
      <c r="M234" s="185"/>
      <c r="N234" s="185"/>
      <c r="O234" s="185"/>
      <c r="P234" s="185"/>
      <c r="Q234" s="377"/>
    </row>
    <row r="235" spans="1:17" ht="18.75" hidden="1" thickBot="1">
      <c r="A235" s="271">
        <f>'ATT H-2A'!A249</f>
        <v>146</v>
      </c>
      <c r="B235" s="344"/>
      <c r="C235" s="274" t="str">
        <f>'ATT H-2A'!C249</f>
        <v>Gross Revenue Requirement</v>
      </c>
      <c r="D235" s="275"/>
      <c r="E235" s="276"/>
      <c r="F235" s="348" t="str">
        <f>'ATT H-2A'!F249</f>
        <v>(Sum Lines 141 to 145)</v>
      </c>
      <c r="G235" s="185"/>
      <c r="H235" s="185"/>
      <c r="I235" s="185"/>
      <c r="J235" s="185"/>
      <c r="K235" s="185"/>
      <c r="L235" s="185"/>
      <c r="M235" s="185"/>
      <c r="N235" s="185"/>
      <c r="O235" s="185"/>
      <c r="P235" s="185"/>
      <c r="Q235" s="377"/>
    </row>
    <row r="236" spans="1:17" ht="15.75" hidden="1">
      <c r="A236" s="287"/>
      <c r="B236" s="258"/>
      <c r="C236" s="279"/>
      <c r="D236" s="243"/>
      <c r="E236" s="295"/>
      <c r="F236" s="293"/>
      <c r="G236" s="185"/>
      <c r="H236" s="185"/>
      <c r="I236" s="185"/>
      <c r="J236" s="185"/>
      <c r="K236" s="185"/>
      <c r="L236" s="185"/>
      <c r="M236" s="185"/>
      <c r="N236" s="185"/>
      <c r="O236" s="185"/>
      <c r="P236" s="185"/>
      <c r="Q236" s="377"/>
    </row>
    <row r="237" spans="1:17" ht="18">
      <c r="A237" s="330"/>
      <c r="B237" s="230" t="str">
        <f>'ATT H-2A'!B251</f>
        <v>Adjustment to Remove Revenue Requirements Associated with Excluded Transmission Facilities</v>
      </c>
      <c r="C237" s="274"/>
      <c r="D237" s="275"/>
      <c r="E237" s="276"/>
      <c r="F237" s="331"/>
      <c r="G237" s="185"/>
      <c r="H237" s="185"/>
      <c r="I237" s="185"/>
      <c r="J237" s="185"/>
      <c r="K237" s="185"/>
      <c r="L237" s="185"/>
      <c r="M237" s="185"/>
      <c r="N237" s="185"/>
      <c r="O237" s="185"/>
      <c r="P237" s="185"/>
      <c r="Q237" s="377"/>
    </row>
    <row r="238" spans="1:17" ht="18" hidden="1">
      <c r="A238" s="296">
        <f>'ATT H-2A'!A252</f>
        <v>147</v>
      </c>
      <c r="B238" s="277"/>
      <c r="C238" s="254" t="str">
        <f>'ATT H-2A'!C252</f>
        <v>Transmission Plant In Service</v>
      </c>
      <c r="D238" s="275"/>
      <c r="E238" s="276"/>
      <c r="F238" s="286" t="str">
        <f>'ATT H-2A'!F252</f>
        <v>(Line 19)</v>
      </c>
      <c r="G238" s="185"/>
      <c r="H238" s="185"/>
      <c r="I238" s="185"/>
      <c r="J238" s="185"/>
      <c r="K238" s="185"/>
      <c r="L238" s="185"/>
      <c r="M238" s="185"/>
      <c r="N238" s="185"/>
      <c r="O238" s="185"/>
      <c r="P238" s="185"/>
      <c r="Q238" s="377"/>
    </row>
    <row r="239" spans="1:17" ht="18">
      <c r="A239" s="296">
        <f>'ATT H-2A'!A253</f>
        <v>148</v>
      </c>
      <c r="B239" s="277"/>
      <c r="C239" s="254" t="str">
        <f>'ATT H-2A'!C253</f>
        <v>Excluded Transmission Facilities</v>
      </c>
      <c r="D239" s="275"/>
      <c r="E239" s="256" t="str">
        <f>'ATT H-2A'!E253</f>
        <v>(Note M)</v>
      </c>
      <c r="F239" s="297" t="str">
        <f>'ATT H-2A'!F253</f>
        <v>Attachment 5</v>
      </c>
      <c r="G239" s="185"/>
      <c r="H239" s="185"/>
      <c r="I239" s="185"/>
      <c r="J239" s="185"/>
      <c r="K239" s="185"/>
      <c r="L239" s="185"/>
      <c r="M239" s="185"/>
      <c r="N239" s="185"/>
      <c r="O239" s="185"/>
      <c r="P239" s="229" t="s">
        <v>529</v>
      </c>
      <c r="Q239" s="377"/>
    </row>
    <row r="240" spans="1:17" ht="18" hidden="1">
      <c r="A240" s="296">
        <f>'ATT H-2A'!A254</f>
        <v>149</v>
      </c>
      <c r="B240" s="277"/>
      <c r="C240" s="254" t="str">
        <f>'ATT H-2A'!C254</f>
        <v>Included Transmission Facilities</v>
      </c>
      <c r="D240" s="275"/>
      <c r="E240" s="278"/>
      <c r="F240" s="297" t="str">
        <f>'ATT H-2A'!F254</f>
        <v>(Line 147 - 148)</v>
      </c>
      <c r="G240" s="185"/>
      <c r="H240" s="185"/>
      <c r="I240" s="185"/>
      <c r="J240" s="185"/>
      <c r="K240" s="185"/>
      <c r="L240" s="185"/>
      <c r="M240" s="185"/>
      <c r="N240" s="185"/>
      <c r="O240" s="185"/>
      <c r="P240" s="185"/>
      <c r="Q240" s="377"/>
    </row>
    <row r="241" spans="1:17" ht="18" hidden="1">
      <c r="A241" s="296">
        <f>'ATT H-2A'!A255</f>
        <v>150</v>
      </c>
      <c r="B241" s="277"/>
      <c r="C241" s="254" t="str">
        <f>'ATT H-2A'!C255</f>
        <v>Inclusion Ratio</v>
      </c>
      <c r="D241" s="275"/>
      <c r="E241" s="276"/>
      <c r="F241" s="297" t="str">
        <f>'ATT H-2A'!F255</f>
        <v>(Line 149 / 147)</v>
      </c>
      <c r="G241" s="185"/>
      <c r="H241" s="185"/>
      <c r="I241" s="185"/>
      <c r="J241" s="185"/>
      <c r="K241" s="185"/>
      <c r="L241" s="185"/>
      <c r="M241" s="185"/>
      <c r="N241" s="185"/>
      <c r="O241" s="185"/>
      <c r="P241" s="185"/>
      <c r="Q241" s="377"/>
    </row>
    <row r="242" spans="1:17" ht="18" hidden="1">
      <c r="A242" s="296">
        <f>'ATT H-2A'!A256</f>
        <v>151</v>
      </c>
      <c r="B242" s="277"/>
      <c r="C242" s="254" t="str">
        <f>'ATT H-2A'!C256</f>
        <v>Gross Revenue Requirement</v>
      </c>
      <c r="D242" s="275"/>
      <c r="E242" s="276"/>
      <c r="F242" s="297" t="str">
        <f>'ATT H-2A'!F256</f>
        <v>(Line 146)</v>
      </c>
      <c r="G242" s="185"/>
      <c r="H242" s="185"/>
      <c r="I242" s="185"/>
      <c r="J242" s="185"/>
      <c r="K242" s="185"/>
      <c r="L242" s="185"/>
      <c r="M242" s="185"/>
      <c r="N242" s="185"/>
      <c r="O242" s="185"/>
      <c r="P242" s="185"/>
      <c r="Q242" s="377"/>
    </row>
    <row r="243" spans="1:17" ht="18" hidden="1">
      <c r="A243" s="296">
        <f>'ATT H-2A'!A257</f>
        <v>152</v>
      </c>
      <c r="B243" s="277"/>
      <c r="C243" s="279" t="str">
        <f>'ATT H-2A'!C257</f>
        <v>Adjusted Gross Revenue Requirement</v>
      </c>
      <c r="D243" s="275"/>
      <c r="E243" s="276"/>
      <c r="F243" s="297" t="str">
        <f>'ATT H-2A'!F257</f>
        <v>(Line 150 * 151)</v>
      </c>
      <c r="G243" s="185"/>
      <c r="H243" s="185"/>
      <c r="I243" s="185"/>
      <c r="J243" s="185"/>
      <c r="K243" s="185"/>
      <c r="L243" s="185"/>
      <c r="M243" s="185"/>
      <c r="N243" s="185"/>
      <c r="O243" s="185"/>
      <c r="P243" s="185"/>
      <c r="Q243" s="377"/>
    </row>
    <row r="244" spans="1:17" ht="15.75" hidden="1">
      <c r="A244" s="287"/>
      <c r="B244" s="258"/>
      <c r="C244" s="279"/>
      <c r="D244" s="243"/>
      <c r="E244" s="295"/>
      <c r="F244" s="293"/>
      <c r="G244" s="185"/>
      <c r="H244" s="185"/>
      <c r="I244" s="185"/>
      <c r="J244" s="185"/>
      <c r="K244" s="185"/>
      <c r="L244" s="185"/>
      <c r="M244" s="185"/>
      <c r="N244" s="185"/>
      <c r="O244" s="185"/>
      <c r="P244" s="185"/>
      <c r="Q244" s="377"/>
    </row>
    <row r="245" spans="1:17" ht="15.75">
      <c r="A245" s="332"/>
      <c r="B245" s="273" t="str">
        <f>'ATT H-2A'!B259</f>
        <v>Revenue Credits &amp; Interest on Network Credits</v>
      </c>
      <c r="C245" s="254"/>
      <c r="D245" s="243"/>
      <c r="E245" s="251"/>
      <c r="F245" s="293"/>
      <c r="G245" s="185"/>
      <c r="H245" s="185"/>
      <c r="I245" s="185"/>
      <c r="J245" s="185"/>
      <c r="K245" s="185"/>
      <c r="L245" s="185"/>
      <c r="M245" s="185"/>
      <c r="N245" s="185"/>
      <c r="O245" s="185"/>
      <c r="P245" s="185"/>
      <c r="Q245" s="377"/>
    </row>
    <row r="246" spans="1:17" ht="15.75" hidden="1">
      <c r="A246" s="296">
        <f>'ATT H-2A'!A260</f>
        <v>153</v>
      </c>
      <c r="B246" s="269"/>
      <c r="C246" s="273" t="str">
        <f>'ATT H-2A'!C260</f>
        <v>Revenue Credits</v>
      </c>
      <c r="D246" s="243"/>
      <c r="E246" s="251"/>
      <c r="F246" s="293" t="str">
        <f>'ATT H-2A'!F260</f>
        <v>Attachment 3</v>
      </c>
      <c r="G246" s="185"/>
      <c r="H246" s="185"/>
      <c r="I246" s="185"/>
      <c r="J246" s="185"/>
      <c r="K246" s="185"/>
      <c r="L246" s="185"/>
      <c r="M246" s="185"/>
      <c r="N246" s="185"/>
      <c r="O246" s="185"/>
      <c r="P246" s="185"/>
      <c r="Q246" s="377"/>
    </row>
    <row r="247" spans="1:17" ht="15.75">
      <c r="A247" s="296">
        <f>'ATT H-2A'!A261</f>
        <v>154</v>
      </c>
      <c r="B247" s="269"/>
      <c r="C247" s="261" t="str">
        <f>'ATT H-2A'!C261</f>
        <v>Interest on Network Credits</v>
      </c>
      <c r="D247" s="243"/>
      <c r="E247" s="319" t="str">
        <f>'ATT H-2A'!E261</f>
        <v>(Note N)</v>
      </c>
      <c r="F247" s="293" t="str">
        <f>'ATT H-2A'!F261</f>
        <v>PJM Data</v>
      </c>
      <c r="G247" s="185"/>
      <c r="H247" s="185"/>
      <c r="I247" s="185"/>
      <c r="J247" s="185"/>
      <c r="K247" s="185"/>
      <c r="L247" s="185"/>
      <c r="M247" s="185"/>
      <c r="N247" s="185"/>
      <c r="O247" s="185"/>
      <c r="P247" s="185"/>
      <c r="Q247" s="408" t="s">
        <v>529</v>
      </c>
    </row>
    <row r="248" spans="1:17" ht="15.75" hidden="1">
      <c r="A248" s="287"/>
      <c r="B248" s="258"/>
      <c r="C248" s="279"/>
      <c r="D248" s="243"/>
      <c r="E248" s="295"/>
      <c r="F248" s="293"/>
      <c r="G248" s="185"/>
      <c r="H248" s="185"/>
      <c r="I248" s="185"/>
      <c r="J248" s="185"/>
      <c r="K248" s="185"/>
      <c r="L248" s="185"/>
      <c r="M248" s="185"/>
      <c r="N248" s="185"/>
      <c r="O248" s="185"/>
      <c r="P248" s="185"/>
      <c r="Q248" s="377"/>
    </row>
    <row r="249" spans="1:17" ht="18.75" hidden="1" thickBot="1">
      <c r="A249" s="271">
        <f>'ATT H-2A'!A263</f>
        <v>155</v>
      </c>
      <c r="B249" s="318"/>
      <c r="C249" s="345" t="str">
        <f>'ATT H-2A'!C263</f>
        <v>Net Revenue Requirement</v>
      </c>
      <c r="D249" s="346"/>
      <c r="E249" s="347"/>
      <c r="F249" s="348" t="str">
        <f>'ATT H-2A'!F263</f>
        <v>(Line 152 - 153 + 154)</v>
      </c>
      <c r="G249" s="185"/>
      <c r="H249" s="185"/>
      <c r="I249" s="185"/>
      <c r="J249" s="185"/>
      <c r="K249" s="185"/>
      <c r="L249" s="185"/>
      <c r="M249" s="185"/>
      <c r="N249" s="185"/>
      <c r="O249" s="185"/>
      <c r="P249" s="185"/>
      <c r="Q249" s="377"/>
    </row>
    <row r="250" spans="1:17" ht="15.75" hidden="1">
      <c r="A250" s="287"/>
      <c r="B250" s="258"/>
      <c r="C250" s="279"/>
      <c r="D250" s="243"/>
      <c r="E250" s="295"/>
      <c r="F250" s="293"/>
      <c r="G250" s="185"/>
      <c r="H250" s="185"/>
      <c r="I250" s="185"/>
      <c r="J250" s="185"/>
      <c r="K250" s="185"/>
      <c r="L250" s="185"/>
      <c r="M250" s="185"/>
      <c r="N250" s="185"/>
      <c r="O250" s="185"/>
      <c r="P250" s="185"/>
      <c r="Q250" s="377"/>
    </row>
    <row r="251" spans="1:17" ht="15.75" hidden="1">
      <c r="A251" s="287"/>
      <c r="B251" s="281" t="str">
        <f>'ATT H-2A'!B265</f>
        <v>Net Plant Carrying Charge</v>
      </c>
      <c r="C251" s="269"/>
      <c r="D251" s="233"/>
      <c r="E251" s="234"/>
      <c r="F251" s="293"/>
      <c r="G251" s="185"/>
      <c r="H251" s="185"/>
      <c r="I251" s="185"/>
      <c r="J251" s="185"/>
      <c r="K251" s="185"/>
      <c r="L251" s="185"/>
      <c r="M251" s="185"/>
      <c r="N251" s="185"/>
      <c r="O251" s="185"/>
      <c r="P251" s="185"/>
      <c r="Q251" s="377"/>
    </row>
    <row r="252" spans="1:17" ht="15.75" hidden="1">
      <c r="A252" s="307">
        <f>'ATT H-2A'!A266</f>
        <v>156</v>
      </c>
      <c r="B252" s="258"/>
      <c r="C252" s="233" t="str">
        <f>'ATT H-2A'!C266</f>
        <v>Net Revenue Requirement</v>
      </c>
      <c r="D252" s="233"/>
      <c r="E252" s="234"/>
      <c r="F252" s="293" t="str">
        <f>'ATT H-2A'!F266</f>
        <v>(Line 155)</v>
      </c>
      <c r="G252" s="185"/>
      <c r="H252" s="185"/>
      <c r="I252" s="185"/>
      <c r="J252" s="185"/>
      <c r="K252" s="185"/>
      <c r="L252" s="185"/>
      <c r="M252" s="185"/>
      <c r="N252" s="185"/>
      <c r="O252" s="185"/>
      <c r="P252" s="185"/>
      <c r="Q252" s="377"/>
    </row>
    <row r="253" spans="1:17" ht="15.75" hidden="1">
      <c r="A253" s="307">
        <f>'ATT H-2A'!A267</f>
        <v>157</v>
      </c>
      <c r="B253" s="258"/>
      <c r="C253" s="233" t="str">
        <f>'ATT H-2A'!C267</f>
        <v>Net Transmission Plant and Abandoned Plant</v>
      </c>
      <c r="D253" s="233"/>
      <c r="E253" s="234"/>
      <c r="F253" s="293" t="str">
        <f>'ATT H-2A'!F267</f>
        <v>(Line 19 - 30 + 44a)</v>
      </c>
      <c r="G253" s="185"/>
      <c r="H253" s="185"/>
      <c r="I253" s="185"/>
      <c r="J253" s="185"/>
      <c r="K253" s="185"/>
      <c r="L253" s="185"/>
      <c r="M253" s="185"/>
      <c r="N253" s="185"/>
      <c r="O253" s="185"/>
      <c r="P253" s="185"/>
      <c r="Q253" s="377"/>
    </row>
    <row r="254" spans="1:17" ht="15.75" hidden="1">
      <c r="A254" s="307">
        <f>'ATT H-2A'!A268</f>
        <v>158</v>
      </c>
      <c r="B254" s="258"/>
      <c r="C254" s="233" t="str">
        <f>'ATT H-2A'!C268</f>
        <v xml:space="preserve">Net Plant Carrying Charge </v>
      </c>
      <c r="D254" s="233"/>
      <c r="E254" s="234"/>
      <c r="F254" s="293" t="str">
        <f>'ATT H-2A'!F268</f>
        <v>(Line 156 / 157)</v>
      </c>
      <c r="G254" s="185"/>
      <c r="H254" s="185"/>
      <c r="I254" s="185"/>
      <c r="J254" s="185"/>
      <c r="K254" s="185"/>
      <c r="L254" s="185"/>
      <c r="M254" s="185"/>
      <c r="N254" s="185"/>
      <c r="O254" s="185"/>
      <c r="P254" s="185"/>
      <c r="Q254" s="377"/>
    </row>
    <row r="255" spans="1:17" ht="15.75" hidden="1">
      <c r="A255" s="307">
        <f>'ATT H-2A'!A269</f>
        <v>159</v>
      </c>
      <c r="B255" s="258"/>
      <c r="C255" s="233" t="str">
        <f>'ATT H-2A'!C269</f>
        <v>Net Plant Carrying Charge without Depreciation</v>
      </c>
      <c r="D255" s="233"/>
      <c r="E255" s="234"/>
      <c r="F255" s="293" t="str">
        <f>'ATT H-2A'!F269</f>
        <v>(Line 156 - 85) / 157</v>
      </c>
      <c r="G255" s="185"/>
      <c r="H255" s="185"/>
      <c r="I255" s="185"/>
      <c r="J255" s="185"/>
      <c r="K255" s="185"/>
      <c r="L255" s="185"/>
      <c r="M255" s="185"/>
      <c r="N255" s="185"/>
      <c r="O255" s="185"/>
      <c r="P255" s="185"/>
      <c r="Q255" s="377"/>
    </row>
    <row r="256" spans="1:17" ht="15.75" hidden="1">
      <c r="A256" s="307">
        <f>'ATT H-2A'!A270</f>
        <v>160</v>
      </c>
      <c r="B256" s="277"/>
      <c r="C256" s="233" t="str">
        <f>'ATT H-2A'!C270</f>
        <v>Net Plant Carrying Charge without Depreciation, Return, nor Income Taxes</v>
      </c>
      <c r="D256" s="233"/>
      <c r="E256" s="264"/>
      <c r="F256" s="321" t="str">
        <f>'ATT H-2A'!F270</f>
        <v>(Line 156 - 85 - 126 - 137) / 157</v>
      </c>
      <c r="G256" s="185"/>
      <c r="H256" s="185"/>
      <c r="I256" s="185"/>
      <c r="J256" s="185"/>
      <c r="K256" s="185"/>
      <c r="L256" s="185"/>
      <c r="M256" s="185"/>
      <c r="N256" s="185"/>
      <c r="O256" s="185"/>
      <c r="P256" s="185"/>
      <c r="Q256" s="377"/>
    </row>
    <row r="257" spans="1:17" ht="15.75" hidden="1">
      <c r="A257" s="287"/>
      <c r="B257" s="258"/>
      <c r="C257" s="279"/>
      <c r="D257" s="243"/>
      <c r="E257" s="295"/>
      <c r="F257" s="293"/>
      <c r="G257" s="185"/>
      <c r="H257" s="185"/>
      <c r="I257" s="185"/>
      <c r="J257" s="185"/>
      <c r="K257" s="185"/>
      <c r="L257" s="185"/>
      <c r="M257" s="185"/>
      <c r="N257" s="185"/>
      <c r="O257" s="185"/>
      <c r="P257" s="185"/>
      <c r="Q257" s="377"/>
    </row>
    <row r="258" spans="1:17" ht="15.75" hidden="1">
      <c r="A258" s="287"/>
      <c r="B258" s="258"/>
      <c r="C258" s="279"/>
      <c r="D258" s="243"/>
      <c r="E258" s="295"/>
      <c r="F258" s="293"/>
      <c r="G258" s="185"/>
      <c r="H258" s="185"/>
      <c r="I258" s="185"/>
      <c r="J258" s="185"/>
      <c r="K258" s="185"/>
      <c r="L258" s="185"/>
      <c r="M258" s="185"/>
      <c r="N258" s="185"/>
      <c r="O258" s="185"/>
      <c r="P258" s="185"/>
      <c r="Q258" s="377"/>
    </row>
    <row r="259" spans="1:17" ht="15.75" hidden="1">
      <c r="A259" s="296"/>
      <c r="B259" s="281" t="str">
        <f>'ATT H-2A'!B273</f>
        <v>Net Plant Carrying Charge Calculation per 100 basis point increase in ROE</v>
      </c>
      <c r="C259" s="233"/>
      <c r="D259" s="233"/>
      <c r="E259" s="234"/>
      <c r="F259" s="293"/>
      <c r="G259" s="185"/>
      <c r="H259" s="185"/>
      <c r="I259" s="185"/>
      <c r="J259" s="185"/>
      <c r="K259" s="185"/>
      <c r="L259" s="185"/>
      <c r="M259" s="185"/>
      <c r="N259" s="185"/>
      <c r="O259" s="185"/>
      <c r="P259" s="185"/>
      <c r="Q259" s="377"/>
    </row>
    <row r="260" spans="1:17" ht="15.75" hidden="1">
      <c r="A260" s="307">
        <f>'ATT H-2A'!A274</f>
        <v>161</v>
      </c>
      <c r="B260" s="258"/>
      <c r="C260" s="233" t="str">
        <f>'ATT H-2A'!C274</f>
        <v>Net Revenue Requirement Less Return and Taxes</v>
      </c>
      <c r="D260" s="233"/>
      <c r="E260" s="234"/>
      <c r="F260" s="333" t="str">
        <f>'ATT H-2A'!F274</f>
        <v>(Line 155 - 144 - 145)</v>
      </c>
      <c r="G260" s="185"/>
      <c r="H260" s="185"/>
      <c r="I260" s="185"/>
      <c r="J260" s="185"/>
      <c r="K260" s="185"/>
      <c r="L260" s="185"/>
      <c r="M260" s="185"/>
      <c r="N260" s="185"/>
      <c r="O260" s="185"/>
      <c r="P260" s="185"/>
      <c r="Q260" s="377"/>
    </row>
    <row r="261" spans="1:17" ht="15.75" hidden="1">
      <c r="A261" s="307">
        <f>'ATT H-2A'!A275</f>
        <v>162</v>
      </c>
      <c r="B261" s="258"/>
      <c r="C261" s="233" t="str">
        <f>'ATT H-2A'!C275</f>
        <v xml:space="preserve">Return and Taxes per 100 basis point increase in ROE </v>
      </c>
      <c r="D261" s="233"/>
      <c r="E261" s="234"/>
      <c r="F261" s="293" t="str">
        <f>'ATT H-2A'!F275</f>
        <v>Attachment 4</v>
      </c>
      <c r="G261" s="185"/>
      <c r="H261" s="185"/>
      <c r="I261" s="185"/>
      <c r="J261" s="185"/>
      <c r="K261" s="185"/>
      <c r="L261" s="185"/>
      <c r="M261" s="185"/>
      <c r="N261" s="185"/>
      <c r="O261" s="185"/>
      <c r="P261" s="185"/>
      <c r="Q261" s="377"/>
    </row>
    <row r="262" spans="1:17" ht="15.75" hidden="1">
      <c r="A262" s="307">
        <f>'ATT H-2A'!A276</f>
        <v>163</v>
      </c>
      <c r="B262" s="258"/>
      <c r="C262" s="233" t="str">
        <f>'ATT H-2A'!C276</f>
        <v xml:space="preserve">Net Revenue Requirement per 100 basis point increase in ROE </v>
      </c>
      <c r="D262" s="233"/>
      <c r="E262" s="234"/>
      <c r="F262" s="333" t="str">
        <f>'ATT H-2A'!F276</f>
        <v>(Line 161 + 162)</v>
      </c>
      <c r="G262" s="185"/>
      <c r="H262" s="185"/>
      <c r="I262" s="185"/>
      <c r="J262" s="185"/>
      <c r="K262" s="185"/>
      <c r="L262" s="185"/>
      <c r="M262" s="185"/>
      <c r="N262" s="185"/>
      <c r="O262" s="185"/>
      <c r="P262" s="185"/>
      <c r="Q262" s="377"/>
    </row>
    <row r="263" spans="1:17" ht="15.75" hidden="1">
      <c r="A263" s="307">
        <f>'ATT H-2A'!A277</f>
        <v>164</v>
      </c>
      <c r="B263" s="258"/>
      <c r="C263" s="233" t="str">
        <f>'ATT H-2A'!C277</f>
        <v>Net Transmission Plant and Abandoned Plant</v>
      </c>
      <c r="D263" s="233"/>
      <c r="E263" s="234"/>
      <c r="F263" s="293" t="str">
        <f>'ATT H-2A'!F277</f>
        <v>(Line 19 - 30 + 44a)</v>
      </c>
      <c r="G263" s="185"/>
      <c r="H263" s="185"/>
      <c r="I263" s="185"/>
      <c r="J263" s="185"/>
      <c r="K263" s="185"/>
      <c r="L263" s="185"/>
      <c r="M263" s="185"/>
      <c r="N263" s="185"/>
      <c r="O263" s="185"/>
      <c r="P263" s="185"/>
      <c r="Q263" s="377"/>
    </row>
    <row r="264" spans="1:17" ht="15.75" hidden="1">
      <c r="A264" s="307">
        <f>'ATT H-2A'!A278</f>
        <v>165</v>
      </c>
      <c r="B264" s="258"/>
      <c r="C264" s="233" t="str">
        <f>'ATT H-2A'!C278</f>
        <v xml:space="preserve">Net Plant Carrying Charge per 100 basis point increase in ROE </v>
      </c>
      <c r="D264" s="233"/>
      <c r="E264" s="234"/>
      <c r="F264" s="293" t="str">
        <f>'ATT H-2A'!F278</f>
        <v>(Line 163 / 164)</v>
      </c>
      <c r="G264" s="185"/>
      <c r="H264" s="185"/>
      <c r="I264" s="185"/>
      <c r="J264" s="185"/>
      <c r="K264" s="185"/>
      <c r="L264" s="185"/>
      <c r="M264" s="185"/>
      <c r="N264" s="185"/>
      <c r="O264" s="185"/>
      <c r="P264" s="185"/>
      <c r="Q264" s="377"/>
    </row>
    <row r="265" spans="1:17" ht="15.75" hidden="1">
      <c r="A265" s="307">
        <f>'ATT H-2A'!A279</f>
        <v>166</v>
      </c>
      <c r="B265" s="258"/>
      <c r="C265" s="233" t="str">
        <f>'ATT H-2A'!C279</f>
        <v>Net Plant Carrying Charge per 100 basis point increase in ROE without Depreciation</v>
      </c>
      <c r="D265" s="233"/>
      <c r="E265" s="234"/>
      <c r="F265" s="293" t="str">
        <f>'ATT H-2A'!F279</f>
        <v>(Line 162 - 85) / 164</v>
      </c>
      <c r="G265" s="185"/>
      <c r="H265" s="185"/>
      <c r="I265" s="185"/>
      <c r="J265" s="185"/>
      <c r="K265" s="185"/>
      <c r="L265" s="185"/>
      <c r="M265" s="185"/>
      <c r="N265" s="185"/>
      <c r="O265" s="185"/>
      <c r="P265" s="185"/>
      <c r="Q265" s="377"/>
    </row>
    <row r="266" spans="1:17" ht="15.75" hidden="1">
      <c r="A266" s="287"/>
      <c r="B266" s="258"/>
      <c r="C266" s="279"/>
      <c r="D266" s="243"/>
      <c r="E266" s="295"/>
      <c r="F266" s="293"/>
      <c r="G266" s="185"/>
      <c r="H266" s="185"/>
      <c r="I266" s="185"/>
      <c r="J266" s="185"/>
      <c r="K266" s="185"/>
      <c r="L266" s="185"/>
      <c r="M266" s="185"/>
      <c r="N266" s="185"/>
      <c r="O266" s="185"/>
      <c r="P266" s="185"/>
      <c r="Q266" s="377"/>
    </row>
    <row r="267" spans="1:17" ht="15.75" hidden="1">
      <c r="A267" s="307">
        <f>'ATT H-2A'!A281</f>
        <v>167</v>
      </c>
      <c r="B267" s="258"/>
      <c r="C267" s="281" t="str">
        <f>'ATT H-2A'!C281</f>
        <v>Net Revenue Requirement</v>
      </c>
      <c r="D267" s="233"/>
      <c r="E267" s="264"/>
      <c r="F267" s="293" t="str">
        <f>'ATT H-2A'!F281</f>
        <v>(Line 155)</v>
      </c>
      <c r="G267" s="185"/>
      <c r="H267" s="185"/>
      <c r="I267" s="185"/>
      <c r="J267" s="185"/>
      <c r="K267" s="185"/>
      <c r="L267" s="185"/>
      <c r="M267" s="185"/>
      <c r="N267" s="185"/>
      <c r="O267" s="185"/>
      <c r="P267" s="185"/>
      <c r="Q267" s="377"/>
    </row>
    <row r="268" spans="1:17" ht="15.75" hidden="1">
      <c r="A268" s="307" t="e">
        <f>'ATT H-2A'!#REF!</f>
        <v>#REF!</v>
      </c>
      <c r="B268" s="258"/>
      <c r="C268" s="152" t="e">
        <f>'ATT H-2A'!#REF!</f>
        <v>#REF!</v>
      </c>
      <c r="D268" s="233"/>
      <c r="E268" s="264"/>
      <c r="F268" s="293" t="e">
        <f>'ATT H-2A'!#REF!</f>
        <v>#REF!</v>
      </c>
      <c r="G268" s="185"/>
      <c r="H268" s="185"/>
      <c r="I268" s="185"/>
      <c r="J268" s="185"/>
      <c r="K268" s="185"/>
      <c r="L268" s="185"/>
      <c r="M268" s="185"/>
      <c r="N268" s="185"/>
      <c r="O268" s="185"/>
      <c r="P268" s="185"/>
      <c r="Q268" s="377"/>
    </row>
    <row r="269" spans="1:17" ht="15.75" hidden="1">
      <c r="A269" s="307">
        <f>'ATT H-2A'!A285</f>
        <v>171</v>
      </c>
      <c r="B269" s="258"/>
      <c r="C269" s="281" t="str">
        <f>'ATT H-2A'!C285</f>
        <v>Net Zonal Revenue Requirement</v>
      </c>
      <c r="D269" s="233"/>
      <c r="E269" s="264"/>
      <c r="F269" s="293" t="str">
        <f>'ATT H-2A'!F285</f>
        <v>(Line 167 + 168 + 169+ 170)</v>
      </c>
      <c r="G269" s="185"/>
      <c r="H269" s="185"/>
      <c r="I269" s="185"/>
      <c r="J269" s="185"/>
      <c r="K269" s="185"/>
      <c r="L269" s="185"/>
      <c r="M269" s="185"/>
      <c r="N269" s="185"/>
      <c r="O269" s="185"/>
      <c r="P269" s="185"/>
      <c r="Q269" s="377"/>
    </row>
    <row r="270" spans="1:17" ht="15.75" hidden="1">
      <c r="A270" s="287"/>
      <c r="B270" s="258"/>
      <c r="C270" s="279"/>
      <c r="D270" s="243"/>
      <c r="E270" s="295"/>
      <c r="F270" s="293"/>
      <c r="G270" s="185"/>
      <c r="H270" s="185"/>
      <c r="I270" s="185"/>
      <c r="J270" s="185"/>
      <c r="K270" s="185"/>
      <c r="L270" s="185"/>
      <c r="M270" s="185"/>
      <c r="N270" s="185"/>
      <c r="O270" s="185"/>
      <c r="P270" s="185"/>
      <c r="Q270" s="377"/>
    </row>
    <row r="271" spans="1:17" ht="15.75">
      <c r="A271" s="296"/>
      <c r="B271" s="273" t="str">
        <f>'ATT H-2A'!B287</f>
        <v>Network Zonal Service Rate</v>
      </c>
      <c r="C271" s="233"/>
      <c r="D271" s="233"/>
      <c r="E271" s="234"/>
      <c r="F271" s="293"/>
      <c r="G271" s="185"/>
      <c r="H271" s="185"/>
      <c r="I271" s="185"/>
      <c r="J271" s="185"/>
      <c r="K271" s="185"/>
      <c r="L271" s="185"/>
      <c r="M271" s="185"/>
      <c r="N271" s="185"/>
      <c r="O271" s="185"/>
      <c r="P271" s="185"/>
      <c r="Q271" s="377"/>
    </row>
    <row r="272" spans="1:17" ht="16.5" thickBot="1">
      <c r="A272" s="349">
        <f>'ATT H-2A'!A288</f>
        <v>172</v>
      </c>
      <c r="B272" s="350"/>
      <c r="C272" s="351" t="str">
        <f>'ATT H-2A'!C288</f>
        <v>1 CP Peak</v>
      </c>
      <c r="D272" s="351"/>
      <c r="E272" s="352" t="str">
        <f>'ATT H-2A'!E288</f>
        <v>(Note L)</v>
      </c>
      <c r="F272" s="353" t="str">
        <f>'ATT H-2A'!F288</f>
        <v>PJM Data</v>
      </c>
      <c r="G272" s="378"/>
      <c r="H272" s="378"/>
      <c r="I272" s="378"/>
      <c r="J272" s="378"/>
      <c r="K272" s="378"/>
      <c r="L272" s="378"/>
      <c r="M272" s="378"/>
      <c r="N272" s="378"/>
      <c r="O272" s="392" t="s">
        <v>529</v>
      </c>
      <c r="P272" s="378"/>
      <c r="Q272" s="390"/>
    </row>
    <row r="273" spans="1:17" ht="15.75" hidden="1">
      <c r="A273" s="307">
        <f>'ATT H-2A'!A289</f>
        <v>173</v>
      </c>
      <c r="B273" s="258"/>
      <c r="C273" s="152" t="str">
        <f>'ATT H-2A'!C289</f>
        <v>Rate ($/MW-Year)</v>
      </c>
      <c r="D273" s="334">
        <f>'ATT H-2A'!D289</f>
        <v>0</v>
      </c>
      <c r="E273" s="283"/>
      <c r="F273" s="286" t="str">
        <f>'ATT H-2A'!F289</f>
        <v>(Line 171 / 172)</v>
      </c>
      <c r="G273" s="183"/>
      <c r="H273" s="183"/>
      <c r="I273" s="183"/>
      <c r="J273" s="183"/>
      <c r="K273" s="183"/>
      <c r="L273" s="183"/>
      <c r="M273" s="183"/>
      <c r="N273" s="183"/>
      <c r="O273" s="183"/>
      <c r="P273" s="183"/>
      <c r="Q273" s="183"/>
    </row>
    <row r="274" spans="1:17" ht="15.75" hidden="1">
      <c r="A274" s="287"/>
      <c r="B274" s="258"/>
      <c r="C274" s="279"/>
      <c r="D274" s="243"/>
      <c r="E274" s="295"/>
      <c r="F274" s="293"/>
      <c r="G274" s="183"/>
      <c r="H274" s="183"/>
      <c r="I274" s="183"/>
      <c r="J274" s="183"/>
      <c r="K274" s="183"/>
      <c r="L274" s="183"/>
      <c r="M274" s="183"/>
      <c r="N274" s="183"/>
      <c r="O274" s="183"/>
      <c r="P274" s="183"/>
      <c r="Q274" s="183"/>
    </row>
    <row r="275" spans="1:17" ht="18.75" hidden="1" thickBot="1">
      <c r="A275" s="271">
        <f>'ATT H-2A'!A291</f>
        <v>174</v>
      </c>
      <c r="B275" s="284"/>
      <c r="C275" s="280" t="str">
        <f>'ATT H-2A'!C291</f>
        <v>Network Service Rate ($/MW/Year)</v>
      </c>
      <c r="D275" s="284"/>
      <c r="E275" s="284"/>
      <c r="F275" s="335" t="str">
        <f>'ATT H-2A'!F291</f>
        <v>(Line 173)</v>
      </c>
      <c r="G275" s="183"/>
      <c r="H275" s="183"/>
      <c r="I275" s="183"/>
      <c r="J275" s="183"/>
      <c r="K275" s="183"/>
      <c r="L275" s="183"/>
      <c r="M275" s="183"/>
      <c r="N275" s="183"/>
      <c r="O275" s="183"/>
      <c r="P275" s="183"/>
      <c r="Q275" s="183"/>
    </row>
    <row r="276" spans="1:17" ht="15.75" hidden="1">
      <c r="A276" s="232"/>
      <c r="B276" s="232"/>
      <c r="C276" s="231"/>
      <c r="D276" s="157"/>
      <c r="E276" s="241"/>
      <c r="F276" s="167"/>
      <c r="G276" s="183"/>
      <c r="H276" s="183"/>
      <c r="I276" s="183"/>
      <c r="J276" s="183"/>
      <c r="K276" s="183"/>
      <c r="L276" s="183"/>
      <c r="M276" s="183"/>
      <c r="N276" s="183"/>
      <c r="O276" s="183"/>
      <c r="P276" s="183"/>
      <c r="Q276" s="183"/>
    </row>
    <row r="277" spans="1:17" ht="21.2" hidden="1" customHeight="1">
      <c r="A277" s="272"/>
      <c r="B277" s="273"/>
      <c r="C277" s="152"/>
      <c r="D277" s="152"/>
      <c r="E277" s="153"/>
      <c r="F277" s="154"/>
      <c r="G277" s="183"/>
      <c r="H277" s="183"/>
      <c r="I277" s="183"/>
      <c r="J277" s="183"/>
      <c r="K277" s="183"/>
      <c r="L277" s="183"/>
      <c r="M277" s="183"/>
      <c r="N277" s="183"/>
      <c r="O277" s="183"/>
      <c r="P277" s="183"/>
      <c r="Q277" s="183"/>
    </row>
    <row r="278" spans="1:17" ht="21.2" hidden="1" customHeight="1">
      <c r="A278" s="272"/>
      <c r="B278" s="258"/>
      <c r="D278" s="152"/>
      <c r="E278" s="153"/>
      <c r="F278" s="154"/>
      <c r="G278" s="183"/>
      <c r="H278" s="183"/>
      <c r="I278" s="183"/>
      <c r="J278" s="183"/>
      <c r="K278" s="183"/>
      <c r="L278" s="183"/>
      <c r="M278" s="183"/>
      <c r="N278" s="183"/>
      <c r="O278" s="183"/>
      <c r="P278" s="183"/>
      <c r="Q278" s="183"/>
    </row>
    <row r="279" spans="1:17" ht="21.2" hidden="1" customHeight="1" thickBot="1">
      <c r="A279" s="359" t="s">
        <v>526</v>
      </c>
      <c r="B279" s="258"/>
      <c r="D279" s="152"/>
      <c r="E279" s="153"/>
      <c r="F279" s="154"/>
      <c r="G279" s="183"/>
      <c r="H279" s="183"/>
      <c r="I279" s="183"/>
      <c r="J279" s="183"/>
      <c r="K279" s="183"/>
      <c r="L279" s="183"/>
      <c r="M279" s="183"/>
      <c r="N279" s="183"/>
      <c r="O279" s="183"/>
      <c r="P279" s="183"/>
      <c r="Q279" s="183"/>
    </row>
    <row r="280" spans="1:17" ht="56.25" hidden="1" customHeight="1">
      <c r="A280" s="1096" t="s">
        <v>519</v>
      </c>
      <c r="B280" s="1097"/>
      <c r="C280" s="1097"/>
      <c r="D280" s="1097"/>
      <c r="E280" s="1097"/>
      <c r="F280" s="1097"/>
      <c r="G280" s="391" t="s">
        <v>535</v>
      </c>
      <c r="H280" s="388"/>
      <c r="I280" s="388" t="s">
        <v>520</v>
      </c>
      <c r="J280" s="1087" t="s">
        <v>462</v>
      </c>
      <c r="K280" s="1089"/>
      <c r="L280" s="1089"/>
      <c r="M280" s="1089"/>
      <c r="N280" s="1089"/>
      <c r="O280" s="1089"/>
      <c r="P280" s="1089"/>
      <c r="Q280" s="1089"/>
    </row>
    <row r="281" spans="1:17" ht="15.75" hidden="1">
      <c r="A281" s="289"/>
      <c r="B281" s="279" t="s">
        <v>333</v>
      </c>
      <c r="C281" s="152"/>
      <c r="D281" s="269"/>
      <c r="E281" s="234"/>
      <c r="F281" s="269"/>
      <c r="G281" s="379"/>
      <c r="H281" s="185"/>
      <c r="I281" s="185"/>
      <c r="J281" s="1092"/>
      <c r="K281" s="1081"/>
      <c r="L281" s="1081"/>
      <c r="M281" s="1081"/>
      <c r="N281" s="1081"/>
      <c r="O281" s="1081"/>
      <c r="P281" s="1081"/>
      <c r="Q281" s="1081"/>
    </row>
    <row r="282" spans="1:17" ht="15.75" hidden="1">
      <c r="A282" s="296">
        <v>7</v>
      </c>
      <c r="B282" s="269"/>
      <c r="C282" s="233" t="s">
        <v>228</v>
      </c>
      <c r="D282" s="152"/>
      <c r="E282" s="242" t="s">
        <v>380</v>
      </c>
      <c r="F282" s="253" t="s">
        <v>175</v>
      </c>
      <c r="G282" s="381" t="s">
        <v>538</v>
      </c>
      <c r="H282" s="229"/>
      <c r="I282" s="229" t="s">
        <v>538</v>
      </c>
      <c r="J282" s="1080" t="s">
        <v>537</v>
      </c>
      <c r="K282" s="1081"/>
      <c r="L282" s="1081"/>
      <c r="M282" s="1081"/>
      <c r="N282" s="1081"/>
      <c r="O282" s="1081"/>
      <c r="P282" s="1081"/>
      <c r="Q282" s="1081"/>
    </row>
    <row r="283" spans="1:17" ht="15.75" hidden="1">
      <c r="A283" s="296">
        <v>10</v>
      </c>
      <c r="B283" s="269"/>
      <c r="C283" s="233" t="s">
        <v>363</v>
      </c>
      <c r="D283" s="152"/>
      <c r="E283" s="242" t="s">
        <v>215</v>
      </c>
      <c r="F283" s="249" t="s">
        <v>376</v>
      </c>
      <c r="G283" s="381" t="s">
        <v>538</v>
      </c>
      <c r="H283" s="229"/>
      <c r="I283" s="229" t="s">
        <v>538</v>
      </c>
      <c r="J283" s="1080" t="s">
        <v>537</v>
      </c>
      <c r="K283" s="1081"/>
      <c r="L283" s="1081"/>
      <c r="M283" s="1081"/>
      <c r="N283" s="1081"/>
      <c r="O283" s="1081"/>
      <c r="P283" s="1081"/>
      <c r="Q283" s="1081"/>
    </row>
    <row r="284" spans="1:17" ht="15.75" hidden="1">
      <c r="A284" s="296">
        <v>11</v>
      </c>
      <c r="B284" s="269"/>
      <c r="C284" s="233" t="s">
        <v>328</v>
      </c>
      <c r="D284" s="152"/>
      <c r="E284" s="242" t="s">
        <v>344</v>
      </c>
      <c r="F284" s="249" t="s">
        <v>175</v>
      </c>
      <c r="G284" s="381" t="s">
        <v>538</v>
      </c>
      <c r="H284" s="229"/>
      <c r="I284" s="229" t="s">
        <v>538</v>
      </c>
      <c r="J284" s="1080" t="s">
        <v>537</v>
      </c>
      <c r="K284" s="1081"/>
      <c r="L284" s="1081"/>
      <c r="M284" s="1081"/>
      <c r="N284" s="1081"/>
      <c r="O284" s="1081"/>
      <c r="P284" s="1081"/>
      <c r="Q284" s="1081"/>
    </row>
    <row r="285" spans="1:17" ht="15.75" hidden="1">
      <c r="A285" s="296">
        <v>12</v>
      </c>
      <c r="B285" s="152"/>
      <c r="C285" s="243" t="s">
        <v>364</v>
      </c>
      <c r="D285" s="152"/>
      <c r="E285" s="242" t="s">
        <v>344</v>
      </c>
      <c r="F285" s="249" t="s">
        <v>175</v>
      </c>
      <c r="G285" s="381" t="s">
        <v>538</v>
      </c>
      <c r="H285" s="229"/>
      <c r="I285" s="229" t="s">
        <v>538</v>
      </c>
      <c r="J285" s="1080" t="s">
        <v>537</v>
      </c>
      <c r="K285" s="1081"/>
      <c r="L285" s="1081"/>
      <c r="M285" s="1081"/>
      <c r="N285" s="1081"/>
      <c r="O285" s="1081"/>
      <c r="P285" s="1081"/>
      <c r="Q285" s="1081"/>
    </row>
    <row r="286" spans="1:17" ht="15.75" hidden="1">
      <c r="A286" s="289"/>
      <c r="B286" s="279" t="s">
        <v>280</v>
      </c>
      <c r="C286" s="152"/>
      <c r="D286" s="152"/>
      <c r="E286" s="295"/>
      <c r="F286" s="253"/>
      <c r="G286" s="379"/>
      <c r="H286" s="185"/>
      <c r="I286" s="185"/>
      <c r="J286" s="1080"/>
      <c r="K286" s="1081"/>
      <c r="L286" s="1081"/>
      <c r="M286" s="1081"/>
      <c r="N286" s="1081"/>
      <c r="O286" s="1081"/>
      <c r="P286" s="1081"/>
      <c r="Q286" s="1081"/>
    </row>
    <row r="287" spans="1:17" ht="15.75" hidden="1">
      <c r="A287" s="296">
        <v>21</v>
      </c>
      <c r="B287" s="258"/>
      <c r="C287" s="250" t="s">
        <v>235</v>
      </c>
      <c r="D287" s="152"/>
      <c r="E287" s="242" t="s">
        <v>380</v>
      </c>
      <c r="F287" s="253" t="s">
        <v>175</v>
      </c>
      <c r="G287" s="381" t="s">
        <v>538</v>
      </c>
      <c r="H287" s="229"/>
      <c r="I287" s="229" t="s">
        <v>538</v>
      </c>
      <c r="J287" s="1080" t="s">
        <v>537</v>
      </c>
      <c r="K287" s="1081"/>
      <c r="L287" s="1081"/>
      <c r="M287" s="1081"/>
      <c r="N287" s="1081"/>
      <c r="O287" s="1081"/>
      <c r="P287" s="1081"/>
      <c r="Q287" s="1081"/>
    </row>
    <row r="288" spans="1:17" ht="15.75" hidden="1">
      <c r="A288" s="296"/>
      <c r="B288" s="279" t="s">
        <v>223</v>
      </c>
      <c r="C288" s="279"/>
      <c r="D288" s="253"/>
      <c r="E288" s="251"/>
      <c r="F288" s="249"/>
      <c r="G288" s="379"/>
      <c r="H288" s="185"/>
      <c r="I288" s="185"/>
      <c r="J288" s="1080"/>
      <c r="K288" s="1081"/>
      <c r="L288" s="1081"/>
      <c r="M288" s="1081"/>
      <c r="N288" s="1081"/>
      <c r="O288" s="1081"/>
      <c r="P288" s="1081"/>
      <c r="Q288" s="1081"/>
    </row>
    <row r="289" spans="1:17" ht="15.75" hidden="1">
      <c r="A289" s="296">
        <v>30</v>
      </c>
      <c r="B289" s="258"/>
      <c r="C289" s="250" t="s">
        <v>328</v>
      </c>
      <c r="D289" s="152"/>
      <c r="E289" s="242" t="s">
        <v>344</v>
      </c>
      <c r="F289" s="249" t="s">
        <v>533</v>
      </c>
      <c r="G289" s="381" t="s">
        <v>538</v>
      </c>
      <c r="H289" s="229"/>
      <c r="I289" s="229" t="s">
        <v>538</v>
      </c>
      <c r="J289" s="1080" t="s">
        <v>537</v>
      </c>
      <c r="K289" s="1081"/>
      <c r="L289" s="1081"/>
      <c r="M289" s="1081"/>
      <c r="N289" s="1081"/>
      <c r="O289" s="1081"/>
      <c r="P289" s="1081"/>
      <c r="Q289" s="1081"/>
    </row>
    <row r="290" spans="1:17" ht="15.75" hidden="1">
      <c r="A290" s="296">
        <v>31</v>
      </c>
      <c r="B290" s="258"/>
      <c r="C290" s="250" t="s">
        <v>277</v>
      </c>
      <c r="D290" s="152"/>
      <c r="E290" s="242" t="s">
        <v>344</v>
      </c>
      <c r="F290" s="249" t="s">
        <v>534</v>
      </c>
      <c r="G290" s="381" t="s">
        <v>538</v>
      </c>
      <c r="H290" s="229"/>
      <c r="I290" s="229" t="s">
        <v>538</v>
      </c>
      <c r="J290" s="1080" t="s">
        <v>537</v>
      </c>
      <c r="K290" s="1081"/>
      <c r="L290" s="1081"/>
      <c r="M290" s="1081"/>
      <c r="N290" s="1081"/>
      <c r="O290" s="1081"/>
      <c r="P290" s="1081"/>
      <c r="Q290" s="1081"/>
    </row>
    <row r="291" spans="1:17" ht="15.75" hidden="1">
      <c r="A291" s="302"/>
      <c r="B291" s="252" t="s">
        <v>414</v>
      </c>
      <c r="C291" s="152"/>
      <c r="D291" s="233"/>
      <c r="E291" s="303"/>
      <c r="F291" s="269"/>
      <c r="G291" s="379"/>
      <c r="H291" s="185"/>
      <c r="I291" s="185"/>
      <c r="J291" s="1080"/>
      <c r="K291" s="1081"/>
      <c r="L291" s="1081"/>
      <c r="M291" s="1081"/>
      <c r="N291" s="1081"/>
      <c r="O291" s="1081"/>
      <c r="P291" s="1081"/>
      <c r="Q291" s="1081"/>
    </row>
    <row r="292" spans="1:17" ht="15.75" hidden="1">
      <c r="A292" s="296">
        <v>40</v>
      </c>
      <c r="B292" s="233"/>
      <c r="C292" s="254" t="s">
        <v>381</v>
      </c>
      <c r="D292" s="255"/>
      <c r="E292" s="256" t="s">
        <v>201</v>
      </c>
      <c r="F292" s="253" t="s">
        <v>202</v>
      </c>
      <c r="G292" s="381" t="s">
        <v>538</v>
      </c>
      <c r="H292" s="229"/>
      <c r="I292" s="229" t="s">
        <v>538</v>
      </c>
      <c r="J292" s="1080" t="s">
        <v>537</v>
      </c>
      <c r="K292" s="1081"/>
      <c r="L292" s="1081"/>
      <c r="M292" s="1081"/>
      <c r="N292" s="1081"/>
      <c r="O292" s="1081"/>
      <c r="P292" s="1081"/>
      <c r="Q292" s="1081"/>
    </row>
    <row r="293" spans="1:17" ht="15.75" hidden="1">
      <c r="A293" s="296"/>
      <c r="B293" s="252" t="s">
        <v>224</v>
      </c>
      <c r="C293" s="260"/>
      <c r="D293" s="152"/>
      <c r="E293" s="234"/>
      <c r="F293" s="337"/>
      <c r="G293" s="379"/>
      <c r="H293" s="185"/>
      <c r="I293" s="185"/>
      <c r="J293" s="1080"/>
      <c r="K293" s="1081"/>
      <c r="L293" s="1081"/>
      <c r="M293" s="1081"/>
      <c r="N293" s="1081"/>
      <c r="O293" s="1081"/>
      <c r="P293" s="1081"/>
      <c r="Q293" s="1081"/>
    </row>
    <row r="294" spans="1:17" ht="15.75" hidden="1">
      <c r="A294" s="296">
        <v>43</v>
      </c>
      <c r="B294" s="309"/>
      <c r="C294" s="260" t="s">
        <v>349</v>
      </c>
      <c r="D294" s="242"/>
      <c r="E294" s="282" t="s">
        <v>344</v>
      </c>
      <c r="F294" s="261" t="s">
        <v>367</v>
      </c>
      <c r="G294" s="381" t="s">
        <v>538</v>
      </c>
      <c r="H294" s="229"/>
      <c r="I294" s="229" t="s">
        <v>538</v>
      </c>
      <c r="J294" s="1080" t="s">
        <v>537</v>
      </c>
      <c r="K294" s="1081"/>
      <c r="L294" s="1081"/>
      <c r="M294" s="1081"/>
      <c r="N294" s="1081"/>
      <c r="O294" s="1081"/>
      <c r="P294" s="1081"/>
      <c r="Q294" s="1081"/>
    </row>
    <row r="295" spans="1:17" ht="15.75" hidden="1">
      <c r="A295" s="296"/>
      <c r="B295" s="252" t="s">
        <v>219</v>
      </c>
      <c r="C295" s="233"/>
      <c r="D295" s="233"/>
      <c r="E295" s="312"/>
      <c r="F295" s="338"/>
      <c r="G295" s="379"/>
      <c r="H295" s="185"/>
      <c r="I295" s="185"/>
      <c r="J295" s="1080"/>
      <c r="K295" s="1081"/>
      <c r="L295" s="1081"/>
      <c r="M295" s="1081"/>
      <c r="N295" s="1081"/>
      <c r="O295" s="1081"/>
      <c r="P295" s="1081"/>
      <c r="Q295" s="1081"/>
    </row>
    <row r="296" spans="1:17" ht="15.75" hidden="1">
      <c r="A296" s="302">
        <v>46</v>
      </c>
      <c r="B296" s="233"/>
      <c r="C296" s="233" t="s">
        <v>283</v>
      </c>
      <c r="D296" s="243"/>
      <c r="E296" s="282" t="s">
        <v>344</v>
      </c>
      <c r="F296" s="260" t="s">
        <v>300</v>
      </c>
      <c r="G296" s="381" t="s">
        <v>538</v>
      </c>
      <c r="H296" s="229"/>
      <c r="I296" s="229" t="s">
        <v>538</v>
      </c>
      <c r="J296" s="1080" t="s">
        <v>537</v>
      </c>
      <c r="K296" s="1081"/>
      <c r="L296" s="1081"/>
      <c r="M296" s="1081"/>
      <c r="N296" s="1081"/>
      <c r="O296" s="1081"/>
      <c r="P296" s="1081"/>
      <c r="Q296" s="1081"/>
    </row>
    <row r="297" spans="1:17" ht="15.75" hidden="1">
      <c r="A297" s="296"/>
      <c r="B297" s="279" t="s">
        <v>208</v>
      </c>
      <c r="C297" s="243"/>
      <c r="D297" s="243"/>
      <c r="E297" s="295"/>
      <c r="F297" s="243"/>
      <c r="G297" s="379"/>
      <c r="H297" s="185"/>
      <c r="I297" s="185"/>
      <c r="J297" s="1080"/>
      <c r="K297" s="1081"/>
      <c r="L297" s="1081"/>
      <c r="M297" s="1081"/>
      <c r="N297" s="1081"/>
      <c r="O297" s="1081"/>
      <c r="P297" s="1081"/>
      <c r="Q297" s="1081"/>
    </row>
    <row r="298" spans="1:17" ht="16.5" hidden="1" thickBot="1">
      <c r="A298" s="349">
        <v>64</v>
      </c>
      <c r="B298" s="354"/>
      <c r="C298" s="355" t="s">
        <v>313</v>
      </c>
      <c r="D298" s="356"/>
      <c r="E298" s="357" t="s">
        <v>344</v>
      </c>
      <c r="F298" s="358" t="s">
        <v>175</v>
      </c>
      <c r="G298" s="386" t="s">
        <v>538</v>
      </c>
      <c r="H298" s="392"/>
      <c r="I298" s="392" t="s">
        <v>538</v>
      </c>
      <c r="J298" s="1082" t="s">
        <v>537</v>
      </c>
      <c r="K298" s="1083"/>
      <c r="L298" s="1083"/>
      <c r="M298" s="1083"/>
      <c r="N298" s="1083"/>
      <c r="O298" s="1083"/>
      <c r="P298" s="1083"/>
      <c r="Q298" s="1083"/>
    </row>
    <row r="299" spans="1:17" ht="21.2" hidden="1" customHeight="1">
      <c r="G299" s="183"/>
      <c r="H299" s="183"/>
      <c r="I299" s="183"/>
      <c r="J299" s="183"/>
      <c r="K299" s="183"/>
      <c r="L299" s="183"/>
      <c r="M299" s="183"/>
      <c r="N299" s="183"/>
      <c r="O299" s="183"/>
      <c r="P299" s="183"/>
      <c r="Q299" s="183"/>
    </row>
    <row r="300" spans="1:17" ht="21.2" hidden="1" customHeight="1">
      <c r="G300" s="183"/>
      <c r="H300" s="183"/>
      <c r="I300" s="183"/>
      <c r="J300" s="183"/>
      <c r="K300" s="183"/>
      <c r="L300" s="183"/>
      <c r="M300" s="183"/>
      <c r="N300" s="183"/>
      <c r="O300" s="183"/>
      <c r="P300" s="183"/>
      <c r="Q300" s="183"/>
    </row>
    <row r="301" spans="1:17" ht="21.2" hidden="1" customHeight="1" thickBot="1">
      <c r="A301" s="359" t="s">
        <v>527</v>
      </c>
      <c r="G301" s="183"/>
      <c r="H301" s="183"/>
      <c r="I301" s="183"/>
      <c r="J301" s="183"/>
      <c r="K301" s="183"/>
      <c r="L301" s="183"/>
      <c r="M301" s="183"/>
      <c r="N301" s="183"/>
      <c r="O301" s="183"/>
      <c r="P301" s="183"/>
      <c r="Q301" s="183"/>
    </row>
    <row r="302" spans="1:17" ht="55.5" hidden="1" customHeight="1">
      <c r="A302" s="1084" t="s">
        <v>519</v>
      </c>
      <c r="B302" s="1085"/>
      <c r="C302" s="1085"/>
      <c r="D302" s="1085"/>
      <c r="E302" s="1085"/>
      <c r="F302" s="1086"/>
      <c r="G302" s="391" t="s">
        <v>535</v>
      </c>
      <c r="H302" s="388"/>
      <c r="I302" s="388" t="s">
        <v>539</v>
      </c>
      <c r="J302" s="1087" t="s">
        <v>462</v>
      </c>
      <c r="K302" s="1089"/>
      <c r="L302" s="1089"/>
      <c r="M302" s="1089"/>
      <c r="N302" s="1089"/>
      <c r="O302" s="1089"/>
      <c r="P302" s="1089"/>
      <c r="Q302" s="1089"/>
    </row>
    <row r="303" spans="1:17" ht="15.75" hidden="1">
      <c r="A303" s="296">
        <v>25</v>
      </c>
      <c r="B303" s="258"/>
      <c r="C303" s="279" t="s">
        <v>455</v>
      </c>
      <c r="D303" s="336"/>
      <c r="E303" s="256" t="s">
        <v>345</v>
      </c>
      <c r="F303" s="286" t="s">
        <v>366</v>
      </c>
      <c r="G303" s="381" t="s">
        <v>538</v>
      </c>
      <c r="H303" s="229"/>
      <c r="I303" s="229" t="s">
        <v>538</v>
      </c>
      <c r="J303" s="1080" t="s">
        <v>537</v>
      </c>
      <c r="K303" s="1081"/>
      <c r="L303" s="1081"/>
      <c r="M303" s="1081"/>
      <c r="N303" s="1081"/>
      <c r="O303" s="1081"/>
      <c r="P303" s="1081"/>
      <c r="Q303" s="1081"/>
    </row>
    <row r="304" spans="1:17" ht="15.75" hidden="1">
      <c r="A304" s="296"/>
      <c r="B304" s="279" t="s">
        <v>207</v>
      </c>
      <c r="C304" s="233"/>
      <c r="D304" s="243"/>
      <c r="E304" s="251"/>
      <c r="F304" s="293"/>
      <c r="G304" s="379"/>
      <c r="H304" s="185"/>
      <c r="I304" s="185"/>
      <c r="J304" s="1080"/>
      <c r="K304" s="1081"/>
      <c r="L304" s="1081"/>
      <c r="M304" s="1081"/>
      <c r="N304" s="1081"/>
      <c r="O304" s="1081"/>
      <c r="P304" s="1081"/>
      <c r="Q304" s="1081"/>
    </row>
    <row r="305" spans="1:17" ht="15.75" hidden="1">
      <c r="A305" s="296">
        <v>73</v>
      </c>
      <c r="B305" s="311"/>
      <c r="C305" s="260" t="s">
        <v>386</v>
      </c>
      <c r="D305" s="242"/>
      <c r="E305" s="282" t="s">
        <v>345</v>
      </c>
      <c r="F305" s="314" t="s">
        <v>168</v>
      </c>
      <c r="G305" s="381" t="s">
        <v>538</v>
      </c>
      <c r="H305" s="229"/>
      <c r="I305" s="229" t="s">
        <v>538</v>
      </c>
      <c r="J305" s="1080" t="s">
        <v>537</v>
      </c>
      <c r="K305" s="1081"/>
      <c r="L305" s="1081"/>
      <c r="M305" s="1081"/>
      <c r="N305" s="1081"/>
      <c r="O305" s="1081"/>
      <c r="P305" s="1081"/>
      <c r="Q305" s="1081"/>
    </row>
    <row r="306" spans="1:17" ht="15.75" hidden="1">
      <c r="A306" s="264"/>
      <c r="B306" s="252"/>
      <c r="C306" s="233"/>
      <c r="D306" s="243"/>
      <c r="E306" s="264"/>
      <c r="F306" s="303"/>
      <c r="G306" s="185"/>
      <c r="H306" s="185"/>
      <c r="I306" s="185"/>
      <c r="J306" s="1080"/>
      <c r="K306" s="1081"/>
      <c r="L306" s="1081"/>
      <c r="M306" s="1081"/>
      <c r="N306" s="1081"/>
      <c r="O306" s="1081"/>
      <c r="P306" s="1081"/>
      <c r="Q306" s="1081"/>
    </row>
    <row r="307" spans="1:17" ht="15.75" hidden="1">
      <c r="A307" s="277"/>
      <c r="B307" s="311"/>
      <c r="C307" s="260"/>
      <c r="D307" s="243"/>
      <c r="E307" s="325"/>
      <c r="F307" s="260"/>
      <c r="G307" s="229" t="s">
        <v>538</v>
      </c>
      <c r="H307" s="229"/>
      <c r="I307" s="229" t="s">
        <v>538</v>
      </c>
      <c r="J307" s="1080" t="s">
        <v>537</v>
      </c>
      <c r="K307" s="1081"/>
      <c r="L307" s="1081"/>
      <c r="M307" s="1081"/>
      <c r="N307" s="1081"/>
      <c r="O307" s="1081"/>
      <c r="P307" s="1081"/>
      <c r="Q307" s="1081"/>
    </row>
    <row r="308" spans="1:17" ht="15.75" hidden="1">
      <c r="A308" s="277"/>
      <c r="B308" s="311"/>
      <c r="C308" s="260"/>
      <c r="D308" s="243"/>
      <c r="E308" s="325"/>
      <c r="F308" s="260"/>
      <c r="G308" s="229" t="s">
        <v>538</v>
      </c>
      <c r="H308" s="229"/>
      <c r="I308" s="229" t="s">
        <v>538</v>
      </c>
      <c r="J308" s="1080" t="s">
        <v>537</v>
      </c>
      <c r="K308" s="1081"/>
      <c r="L308" s="1081"/>
      <c r="M308" s="1081"/>
      <c r="N308" s="1081"/>
      <c r="O308" s="1081"/>
      <c r="P308" s="1081"/>
      <c r="Q308" s="1081"/>
    </row>
    <row r="309" spans="1:17" ht="16.5" hidden="1" thickBot="1">
      <c r="A309" s="277"/>
      <c r="B309" s="311"/>
      <c r="C309" s="260"/>
      <c r="D309" s="243"/>
      <c r="E309" s="325"/>
      <c r="F309" s="260"/>
      <c r="G309" s="392" t="s">
        <v>538</v>
      </c>
      <c r="H309" s="392"/>
      <c r="I309" s="392" t="s">
        <v>538</v>
      </c>
      <c r="J309" s="1082" t="s">
        <v>537</v>
      </c>
      <c r="K309" s="1083"/>
      <c r="L309" s="1083"/>
      <c r="M309" s="1083"/>
      <c r="N309" s="1083"/>
      <c r="O309" s="1083"/>
      <c r="P309" s="1083"/>
      <c r="Q309" s="1083"/>
    </row>
    <row r="310" spans="1:17" ht="21.2" hidden="1" customHeight="1">
      <c r="A310" s="277"/>
      <c r="B310" s="311"/>
      <c r="C310" s="260"/>
      <c r="D310" s="243"/>
      <c r="E310" s="325"/>
      <c r="F310" s="260"/>
      <c r="G310" s="185"/>
      <c r="H310" s="185"/>
      <c r="I310" s="229"/>
      <c r="J310" s="185"/>
      <c r="K310" s="185"/>
      <c r="L310" s="185"/>
      <c r="M310" s="185"/>
      <c r="N310" s="185"/>
      <c r="O310" s="185"/>
      <c r="P310" s="185"/>
      <c r="Q310" s="185"/>
    </row>
    <row r="311" spans="1:17" ht="21.2" hidden="1" customHeight="1">
      <c r="A311" s="470"/>
      <c r="B311" s="470"/>
      <c r="C311" s="470"/>
      <c r="D311" s="470"/>
      <c r="E311" s="470"/>
      <c r="F311" s="470"/>
      <c r="G311" s="183"/>
      <c r="H311" s="183"/>
      <c r="I311" s="183"/>
      <c r="J311" s="183"/>
      <c r="K311" s="183"/>
      <c r="L311" s="183"/>
      <c r="M311" s="183"/>
      <c r="N311" s="183"/>
      <c r="O311" s="183"/>
      <c r="P311" s="183"/>
      <c r="Q311" s="183"/>
    </row>
    <row r="312" spans="1:17" ht="21.2" hidden="1" customHeight="1" thickBot="1">
      <c r="A312" s="359"/>
      <c r="B312" s="470"/>
      <c r="C312" s="470"/>
      <c r="D312" s="470"/>
      <c r="E312" s="470"/>
      <c r="F312" s="470"/>
      <c r="G312" s="183"/>
      <c r="H312" s="183"/>
      <c r="I312" s="183"/>
      <c r="J312" s="183"/>
      <c r="K312" s="183"/>
      <c r="L312" s="183"/>
      <c r="M312" s="183"/>
      <c r="N312" s="183"/>
      <c r="O312" s="183"/>
      <c r="P312" s="183"/>
      <c r="Q312" s="183"/>
    </row>
    <row r="313" spans="1:17" ht="72" hidden="1" customHeight="1">
      <c r="A313" s="1098"/>
      <c r="B313" s="1098"/>
      <c r="C313" s="1098"/>
      <c r="D313" s="1098"/>
      <c r="E313" s="1098"/>
      <c r="F313" s="1098"/>
      <c r="G313" s="388" t="str">
        <f>+G302</f>
        <v>Form 1 Amount</v>
      </c>
      <c r="H313" s="388"/>
      <c r="I313" s="388" t="s">
        <v>615</v>
      </c>
      <c r="J313" s="1087" t="s">
        <v>462</v>
      </c>
      <c r="K313" s="1089"/>
      <c r="L313" s="1089"/>
      <c r="M313" s="1089"/>
      <c r="N313" s="1089"/>
      <c r="O313" s="1089"/>
      <c r="P313" s="1089"/>
      <c r="Q313" s="1089"/>
    </row>
    <row r="314" spans="1:17" ht="15.75" hidden="1">
      <c r="A314" s="264"/>
      <c r="B314" s="279"/>
      <c r="C314" s="243"/>
      <c r="D314" s="233"/>
      <c r="E314" s="264"/>
      <c r="F314" s="233"/>
      <c r="G314" s="185"/>
      <c r="H314" s="185"/>
      <c r="I314" s="185"/>
      <c r="J314" s="1080"/>
      <c r="K314" s="1081"/>
      <c r="L314" s="1081"/>
      <c r="M314" s="1081"/>
      <c r="N314" s="1081"/>
      <c r="O314" s="1081"/>
      <c r="P314" s="1081"/>
      <c r="Q314" s="1081"/>
    </row>
    <row r="315" spans="1:17" ht="15.75" hidden="1">
      <c r="A315" s="296">
        <v>6</v>
      </c>
      <c r="B315" s="269"/>
      <c r="C315" s="233" t="s">
        <v>352</v>
      </c>
      <c r="D315" s="152"/>
      <c r="E315" s="242" t="s">
        <v>417</v>
      </c>
      <c r="F315" s="291" t="s">
        <v>199</v>
      </c>
      <c r="G315" s="381" t="s">
        <v>538</v>
      </c>
      <c r="H315" s="229"/>
      <c r="I315" s="229" t="s">
        <v>538</v>
      </c>
      <c r="J315" s="1080" t="s">
        <v>537</v>
      </c>
      <c r="K315" s="1081"/>
      <c r="L315" s="1081"/>
      <c r="M315" s="1081"/>
      <c r="N315" s="1081"/>
      <c r="O315" s="1081"/>
      <c r="P315" s="1081"/>
      <c r="Q315" s="1081"/>
    </row>
    <row r="316" spans="1:17" ht="15.75" hidden="1">
      <c r="A316" s="296">
        <v>7</v>
      </c>
      <c r="B316" s="269"/>
      <c r="C316" s="233" t="s">
        <v>228</v>
      </c>
      <c r="D316" s="152"/>
      <c r="E316" s="242" t="s">
        <v>380</v>
      </c>
      <c r="F316" s="297" t="s">
        <v>175</v>
      </c>
      <c r="G316" s="381" t="s">
        <v>538</v>
      </c>
      <c r="H316" s="229"/>
      <c r="I316" s="229" t="s">
        <v>538</v>
      </c>
      <c r="J316" s="1080" t="s">
        <v>537</v>
      </c>
      <c r="K316" s="1081"/>
      <c r="L316" s="1081"/>
      <c r="M316" s="1081"/>
      <c r="N316" s="1081"/>
      <c r="O316" s="1081"/>
      <c r="P316" s="1081"/>
      <c r="Q316" s="1081"/>
    </row>
    <row r="317" spans="1:17" ht="15.75" hidden="1">
      <c r="A317" s="289"/>
      <c r="B317" s="279" t="s">
        <v>280</v>
      </c>
      <c r="C317" s="152"/>
      <c r="D317" s="152"/>
      <c r="E317" s="295"/>
      <c r="F317" s="297"/>
      <c r="G317" s="379"/>
      <c r="H317" s="185"/>
      <c r="I317" s="185"/>
      <c r="J317" s="1080"/>
      <c r="K317" s="1081"/>
      <c r="L317" s="1081"/>
      <c r="M317" s="1081"/>
      <c r="N317" s="1081"/>
      <c r="O317" s="1081"/>
      <c r="P317" s="1081"/>
      <c r="Q317" s="1081"/>
    </row>
    <row r="318" spans="1:17" ht="15.75" hidden="1">
      <c r="A318" s="296">
        <v>19</v>
      </c>
      <c r="B318" s="258"/>
      <c r="C318" s="265" t="s">
        <v>317</v>
      </c>
      <c r="D318" s="152"/>
      <c r="E318" s="242" t="s">
        <v>417</v>
      </c>
      <c r="F318" s="297" t="s">
        <v>200</v>
      </c>
      <c r="G318" s="381" t="s">
        <v>538</v>
      </c>
      <c r="H318" s="229"/>
      <c r="I318" s="229" t="s">
        <v>538</v>
      </c>
      <c r="J318" s="1080" t="s">
        <v>537</v>
      </c>
      <c r="K318" s="1081"/>
      <c r="L318" s="1081"/>
      <c r="M318" s="1081"/>
      <c r="N318" s="1081"/>
      <c r="O318" s="1081"/>
      <c r="P318" s="1081"/>
      <c r="Q318" s="1081"/>
    </row>
    <row r="319" spans="1:17" ht="16.5" hidden="1" thickBot="1">
      <c r="A319" s="349">
        <v>21</v>
      </c>
      <c r="B319" s="350"/>
      <c r="C319" s="364" t="s">
        <v>235</v>
      </c>
      <c r="D319" s="351"/>
      <c r="E319" s="365" t="s">
        <v>380</v>
      </c>
      <c r="F319" s="366" t="s">
        <v>175</v>
      </c>
      <c r="G319" s="386" t="s">
        <v>538</v>
      </c>
      <c r="H319" s="392"/>
      <c r="I319" s="392" t="s">
        <v>538</v>
      </c>
      <c r="J319" s="1082" t="s">
        <v>537</v>
      </c>
      <c r="K319" s="1083"/>
      <c r="L319" s="1083"/>
      <c r="M319" s="1083"/>
      <c r="N319" s="1083"/>
      <c r="O319" s="1083"/>
      <c r="P319" s="1083"/>
      <c r="Q319" s="1083"/>
    </row>
    <row r="320" spans="1:17" ht="21.2" hidden="1" customHeight="1">
      <c r="G320" s="183"/>
      <c r="H320" s="183"/>
      <c r="I320" s="183"/>
      <c r="J320" s="183"/>
      <c r="K320" s="183"/>
      <c r="L320" s="183"/>
      <c r="M320" s="183"/>
      <c r="N320" s="183"/>
      <c r="O320" s="183"/>
      <c r="P320" s="183"/>
      <c r="Q320" s="183"/>
    </row>
    <row r="321" spans="1:17" ht="21.2" hidden="1" customHeight="1">
      <c r="G321" s="183"/>
      <c r="H321" s="183"/>
      <c r="I321" s="183"/>
      <c r="J321" s="183"/>
      <c r="K321" s="183"/>
      <c r="L321" s="183"/>
      <c r="M321" s="183"/>
      <c r="N321" s="183"/>
      <c r="O321" s="183"/>
      <c r="P321" s="183"/>
      <c r="Q321" s="183"/>
    </row>
    <row r="322" spans="1:17" ht="21.2" hidden="1" customHeight="1" thickBot="1">
      <c r="A322" s="359" t="s">
        <v>525</v>
      </c>
      <c r="G322" s="183"/>
      <c r="H322" s="183"/>
      <c r="I322" s="183"/>
      <c r="J322" s="183"/>
      <c r="K322" s="183"/>
      <c r="L322" s="183"/>
      <c r="M322" s="183"/>
      <c r="N322" s="183"/>
      <c r="O322" s="183"/>
      <c r="P322" s="183"/>
      <c r="Q322" s="183"/>
    </row>
    <row r="323" spans="1:17" ht="38.25" hidden="1" customHeight="1">
      <c r="A323" s="1084" t="s">
        <v>519</v>
      </c>
      <c r="B323" s="1085"/>
      <c r="C323" s="1085"/>
      <c r="D323" s="1085"/>
      <c r="E323" s="1085"/>
      <c r="F323" s="1086"/>
      <c r="G323" s="388" t="str">
        <f>+G313</f>
        <v>Form 1 Amount</v>
      </c>
      <c r="H323" s="388"/>
      <c r="I323" s="388" t="s">
        <v>521</v>
      </c>
      <c r="J323" s="1087" t="s">
        <v>462</v>
      </c>
      <c r="K323" s="1089"/>
      <c r="L323" s="1089"/>
      <c r="M323" s="1089"/>
      <c r="N323" s="1089"/>
      <c r="O323" s="1089"/>
      <c r="P323" s="1089"/>
      <c r="Q323" s="1089"/>
    </row>
    <row r="324" spans="1:17" ht="15.75" hidden="1">
      <c r="A324" s="296"/>
      <c r="B324" s="279" t="s">
        <v>208</v>
      </c>
      <c r="C324" s="243"/>
      <c r="D324" s="243"/>
      <c r="E324" s="295"/>
      <c r="F324" s="321"/>
      <c r="G324" s="185"/>
      <c r="H324" s="185"/>
      <c r="I324" s="185"/>
      <c r="J324" s="1080"/>
      <c r="K324" s="1081"/>
      <c r="L324" s="1081"/>
      <c r="M324" s="1081"/>
      <c r="N324" s="1081"/>
      <c r="O324" s="1081"/>
      <c r="P324" s="1081"/>
      <c r="Q324" s="1081"/>
    </row>
    <row r="325" spans="1:17" ht="16.5" hidden="1" thickBot="1">
      <c r="A325" s="349">
        <v>69</v>
      </c>
      <c r="B325" s="354"/>
      <c r="C325" s="355" t="s">
        <v>356</v>
      </c>
      <c r="D325" s="367"/>
      <c r="E325" s="368" t="s">
        <v>385</v>
      </c>
      <c r="F325" s="366" t="s">
        <v>329</v>
      </c>
      <c r="G325" s="386" t="s">
        <v>538</v>
      </c>
      <c r="H325" s="392"/>
      <c r="I325" s="392" t="s">
        <v>538</v>
      </c>
      <c r="J325" s="1082" t="s">
        <v>537</v>
      </c>
      <c r="K325" s="1083"/>
      <c r="L325" s="1083"/>
      <c r="M325" s="1083"/>
      <c r="N325" s="1083"/>
      <c r="O325" s="1083"/>
      <c r="P325" s="1083"/>
      <c r="Q325" s="1083"/>
    </row>
    <row r="326" spans="1:17" ht="21.2" hidden="1" customHeight="1">
      <c r="G326" s="183"/>
      <c r="H326" s="183"/>
      <c r="I326" s="183"/>
      <c r="J326" s="183"/>
      <c r="K326" s="183"/>
      <c r="L326" s="183"/>
      <c r="M326" s="183"/>
      <c r="N326" s="183"/>
      <c r="O326" s="183"/>
      <c r="P326" s="183"/>
      <c r="Q326" s="183"/>
    </row>
    <row r="327" spans="1:17" ht="21.2" hidden="1" customHeight="1">
      <c r="G327" s="183"/>
      <c r="H327" s="183"/>
      <c r="I327" s="183"/>
      <c r="J327" s="183"/>
      <c r="K327" s="183"/>
      <c r="L327" s="183"/>
      <c r="M327" s="183"/>
      <c r="N327" s="183"/>
      <c r="O327" s="183"/>
      <c r="P327" s="183"/>
      <c r="Q327" s="183"/>
    </row>
    <row r="328" spans="1:17" ht="21.2" hidden="1" customHeight="1" thickBot="1">
      <c r="A328" s="359" t="s">
        <v>531</v>
      </c>
      <c r="G328" s="183"/>
      <c r="H328" s="183"/>
      <c r="I328" s="183"/>
      <c r="J328" s="183"/>
      <c r="K328" s="183"/>
      <c r="L328" s="183"/>
      <c r="M328" s="183"/>
      <c r="N328" s="183"/>
      <c r="O328" s="183"/>
      <c r="P328" s="183"/>
      <c r="Q328" s="183"/>
    </row>
    <row r="329" spans="1:17" ht="57.2" hidden="1" customHeight="1">
      <c r="A329" s="1084" t="s">
        <v>519</v>
      </c>
      <c r="B329" s="1085"/>
      <c r="C329" s="1085"/>
      <c r="D329" s="1085"/>
      <c r="E329" s="1085"/>
      <c r="F329" s="1086"/>
      <c r="G329" s="391" t="s">
        <v>535</v>
      </c>
      <c r="H329" s="388"/>
      <c r="I329" s="388" t="s">
        <v>539</v>
      </c>
      <c r="J329" s="1087" t="s">
        <v>462</v>
      </c>
      <c r="K329" s="1089"/>
      <c r="L329" s="1089"/>
      <c r="M329" s="1089"/>
      <c r="N329" s="1089"/>
      <c r="O329" s="1089"/>
      <c r="P329" s="1089"/>
      <c r="Q329" s="1089"/>
    </row>
    <row r="330" spans="1:17" ht="15.75" hidden="1">
      <c r="A330" s="296"/>
      <c r="B330" s="279" t="s">
        <v>208</v>
      </c>
      <c r="C330" s="243"/>
      <c r="D330" s="243"/>
      <c r="E330" s="295"/>
      <c r="F330" s="321"/>
      <c r="G330" s="185"/>
      <c r="H330" s="185"/>
      <c r="I330" s="185"/>
      <c r="J330" s="185"/>
      <c r="K330" s="185"/>
      <c r="L330" s="185"/>
      <c r="M330" s="185"/>
      <c r="N330" s="185"/>
      <c r="O330" s="185"/>
      <c r="P330" s="185"/>
      <c r="Q330" s="185"/>
    </row>
    <row r="331" spans="1:17" ht="16.5" hidden="1" thickBot="1">
      <c r="A331" s="349">
        <v>67</v>
      </c>
      <c r="B331" s="354"/>
      <c r="C331" s="355" t="s">
        <v>383</v>
      </c>
      <c r="D331" s="369"/>
      <c r="E331" s="362" t="s">
        <v>532</v>
      </c>
      <c r="F331" s="370" t="s">
        <v>168</v>
      </c>
      <c r="G331" s="386" t="s">
        <v>538</v>
      </c>
      <c r="H331" s="392"/>
      <c r="I331" s="392" t="s">
        <v>538</v>
      </c>
      <c r="J331" s="1082" t="s">
        <v>537</v>
      </c>
      <c r="K331" s="1083"/>
      <c r="L331" s="1083"/>
      <c r="M331" s="1083"/>
      <c r="N331" s="1083"/>
      <c r="O331" s="1083"/>
      <c r="P331" s="1083"/>
      <c r="Q331" s="1083"/>
    </row>
    <row r="332" spans="1:17" ht="21.2" hidden="1" customHeight="1">
      <c r="G332" s="183"/>
      <c r="H332" s="183"/>
      <c r="I332" s="183"/>
      <c r="J332" s="183"/>
      <c r="K332" s="183"/>
      <c r="L332" s="183"/>
      <c r="M332" s="183"/>
      <c r="N332" s="183"/>
      <c r="O332" s="183"/>
      <c r="P332" s="183"/>
      <c r="Q332" s="183"/>
    </row>
    <row r="333" spans="1:17" ht="21.2" hidden="1" customHeight="1">
      <c r="G333" s="183"/>
      <c r="H333" s="183"/>
      <c r="I333" s="183"/>
      <c r="J333" s="183"/>
      <c r="K333" s="183"/>
      <c r="L333" s="183"/>
      <c r="M333" s="183"/>
      <c r="N333" s="183"/>
      <c r="O333" s="183"/>
      <c r="P333" s="183"/>
      <c r="Q333" s="183"/>
    </row>
    <row r="334" spans="1:17" ht="21.2" hidden="1" customHeight="1" thickBot="1">
      <c r="A334" s="359" t="s">
        <v>613</v>
      </c>
      <c r="G334" s="183"/>
      <c r="H334" s="183"/>
      <c r="I334" s="183"/>
      <c r="J334" s="183"/>
      <c r="K334" s="183"/>
      <c r="L334" s="183"/>
      <c r="M334" s="183"/>
      <c r="N334" s="183"/>
      <c r="O334" s="183"/>
      <c r="P334" s="183"/>
      <c r="Q334" s="183"/>
    </row>
    <row r="335" spans="1:17" ht="35.450000000000003" hidden="1" customHeight="1">
      <c r="A335" s="1084" t="s">
        <v>519</v>
      </c>
      <c r="B335" s="1085"/>
      <c r="C335" s="1085"/>
      <c r="D335" s="1085"/>
      <c r="E335" s="1085"/>
      <c r="F335" s="1086"/>
      <c r="G335" s="391" t="s">
        <v>535</v>
      </c>
      <c r="H335" s="388"/>
      <c r="I335" s="388" t="s">
        <v>541</v>
      </c>
      <c r="J335" s="1087" t="s">
        <v>462</v>
      </c>
      <c r="K335" s="1089"/>
      <c r="L335" s="1089"/>
      <c r="M335" s="1089"/>
      <c r="N335" s="1089"/>
      <c r="O335" s="1089"/>
      <c r="P335" s="1089"/>
      <c r="Q335" s="1089"/>
    </row>
    <row r="336" spans="1:17" ht="15.75" hidden="1">
      <c r="A336" s="296"/>
      <c r="B336" s="279" t="s">
        <v>207</v>
      </c>
      <c r="C336" s="233"/>
      <c r="D336" s="243"/>
      <c r="E336" s="251"/>
      <c r="F336" s="293"/>
      <c r="G336" s="185"/>
      <c r="H336" s="185"/>
      <c r="I336" s="185"/>
      <c r="J336" s="185"/>
      <c r="K336" s="185"/>
      <c r="L336" s="185"/>
      <c r="M336" s="185"/>
      <c r="N336" s="185"/>
      <c r="O336" s="185"/>
      <c r="P336" s="185"/>
      <c r="Q336" s="185"/>
    </row>
    <row r="337" spans="1:17" ht="16.5" hidden="1" thickBot="1">
      <c r="A337" s="371">
        <v>77</v>
      </c>
      <c r="B337" s="360"/>
      <c r="C337" s="361" t="s">
        <v>387</v>
      </c>
      <c r="D337" s="356"/>
      <c r="E337" s="365" t="s">
        <v>389</v>
      </c>
      <c r="F337" s="363" t="s">
        <v>169</v>
      </c>
      <c r="G337" s="386" t="s">
        <v>538</v>
      </c>
      <c r="H337" s="392"/>
      <c r="I337" s="392" t="s">
        <v>538</v>
      </c>
      <c r="J337" s="1082" t="s">
        <v>537</v>
      </c>
      <c r="K337" s="1083"/>
      <c r="L337" s="1083"/>
      <c r="M337" s="1083"/>
      <c r="N337" s="1083"/>
      <c r="O337" s="1083"/>
      <c r="P337" s="1083"/>
      <c r="Q337" s="1083"/>
    </row>
    <row r="338" spans="1:17" ht="21.2" hidden="1" customHeight="1">
      <c r="A338" s="258"/>
      <c r="B338" s="311"/>
      <c r="C338" s="260"/>
      <c r="D338" s="243"/>
      <c r="E338" s="242"/>
      <c r="F338" s="260"/>
      <c r="G338" s="229"/>
      <c r="H338" s="229"/>
      <c r="I338" s="229"/>
      <c r="J338" s="383"/>
      <c r="K338" s="380"/>
      <c r="L338" s="380"/>
      <c r="M338" s="380"/>
      <c r="N338" s="380"/>
      <c r="O338" s="380"/>
      <c r="P338" s="380"/>
      <c r="Q338" s="380"/>
    </row>
    <row r="339" spans="1:17" ht="21.2" hidden="1" customHeight="1">
      <c r="G339" s="183"/>
      <c r="H339" s="183"/>
      <c r="I339" s="183"/>
      <c r="J339" s="183"/>
      <c r="K339" s="183"/>
      <c r="L339" s="183"/>
      <c r="M339" s="183"/>
      <c r="N339" s="183"/>
      <c r="O339" s="183"/>
      <c r="P339" s="183"/>
      <c r="Q339" s="183"/>
    </row>
    <row r="340" spans="1:17" ht="21.2" hidden="1" customHeight="1" thickBot="1">
      <c r="A340" s="359" t="s">
        <v>528</v>
      </c>
      <c r="G340" s="183"/>
      <c r="H340" s="183"/>
      <c r="I340" s="183"/>
      <c r="J340" s="183"/>
      <c r="K340" s="183"/>
      <c r="L340" s="183"/>
      <c r="M340" s="183"/>
      <c r="N340" s="183"/>
      <c r="O340" s="183"/>
      <c r="P340" s="183"/>
      <c r="Q340" s="183"/>
    </row>
    <row r="341" spans="1:17" ht="18" hidden="1">
      <c r="A341" s="1084" t="s">
        <v>519</v>
      </c>
      <c r="B341" s="1085"/>
      <c r="C341" s="1085"/>
      <c r="D341" s="1085"/>
      <c r="E341" s="1085"/>
      <c r="F341" s="1085"/>
      <c r="G341" s="391" t="s">
        <v>545</v>
      </c>
      <c r="H341" s="388"/>
      <c r="I341" s="388" t="s">
        <v>546</v>
      </c>
      <c r="J341" s="388" t="s">
        <v>548</v>
      </c>
      <c r="K341" s="388" t="s">
        <v>549</v>
      </c>
      <c r="L341" s="1087" t="s">
        <v>462</v>
      </c>
      <c r="M341" s="1089"/>
      <c r="N341" s="1089"/>
      <c r="O341" s="1089"/>
      <c r="P341" s="1089"/>
      <c r="Q341" s="1089"/>
    </row>
    <row r="342" spans="1:17" ht="15.75" hidden="1">
      <c r="A342" s="287" t="s">
        <v>176</v>
      </c>
      <c r="B342" s="268" t="s">
        <v>297</v>
      </c>
      <c r="C342" s="152"/>
      <c r="D342" s="152"/>
      <c r="E342" s="251"/>
      <c r="F342" s="249"/>
      <c r="G342" s="379"/>
      <c r="H342" s="185"/>
      <c r="I342" s="185"/>
      <c r="J342" s="185"/>
      <c r="K342" s="185"/>
      <c r="L342" s="185"/>
      <c r="M342" s="185"/>
      <c r="N342" s="185"/>
      <c r="O342" s="185"/>
      <c r="P342" s="185"/>
      <c r="Q342" s="185"/>
    </row>
    <row r="343" spans="1:17" ht="15.75" hidden="1">
      <c r="A343" s="287"/>
      <c r="B343" s="268"/>
      <c r="C343" s="152"/>
      <c r="D343" s="152"/>
      <c r="E343" s="251"/>
      <c r="F343" s="249"/>
      <c r="G343" s="381" t="s">
        <v>542</v>
      </c>
      <c r="H343" s="229"/>
      <c r="I343" s="229" t="s">
        <v>542</v>
      </c>
      <c r="J343" s="229" t="s">
        <v>542</v>
      </c>
      <c r="K343" s="229" t="s">
        <v>542</v>
      </c>
      <c r="L343" s="1080" t="s">
        <v>544</v>
      </c>
      <c r="M343" s="1090"/>
      <c r="N343" s="1090"/>
      <c r="O343" s="1090"/>
      <c r="P343" s="1090"/>
      <c r="Q343" s="1090"/>
    </row>
    <row r="344" spans="1:17" ht="16.5" hidden="1" thickBot="1">
      <c r="A344" s="371">
        <v>125</v>
      </c>
      <c r="B344" s="350"/>
      <c r="C344" s="372" t="s">
        <v>294</v>
      </c>
      <c r="D344" s="373"/>
      <c r="E344" s="352" t="s">
        <v>346</v>
      </c>
      <c r="F344" s="351" t="s">
        <v>504</v>
      </c>
      <c r="G344" s="386" t="s">
        <v>543</v>
      </c>
      <c r="H344" s="392"/>
      <c r="I344" s="392" t="s">
        <v>543</v>
      </c>
      <c r="J344" s="392" t="s">
        <v>543</v>
      </c>
      <c r="K344" s="392" t="s">
        <v>543</v>
      </c>
      <c r="L344" s="1082" t="s">
        <v>537</v>
      </c>
      <c r="M344" s="1091"/>
      <c r="N344" s="1091"/>
      <c r="O344" s="1091"/>
      <c r="P344" s="1091"/>
      <c r="Q344" s="1091"/>
    </row>
    <row r="345" spans="1:17" ht="21.2" hidden="1" customHeight="1">
      <c r="G345" s="183"/>
      <c r="H345" s="183"/>
      <c r="I345" s="183"/>
      <c r="J345" s="183"/>
      <c r="K345" s="183"/>
      <c r="L345" s="183"/>
      <c r="M345" s="183"/>
      <c r="N345" s="183"/>
      <c r="O345" s="183"/>
      <c r="P345" s="183"/>
      <c r="Q345" s="183"/>
    </row>
    <row r="346" spans="1:17" ht="21.2" hidden="1" customHeight="1">
      <c r="G346" s="183"/>
      <c r="H346" s="183"/>
      <c r="I346" s="183"/>
      <c r="J346" s="183"/>
      <c r="K346" s="183"/>
      <c r="L346" s="183"/>
      <c r="M346" s="183"/>
      <c r="N346" s="183"/>
      <c r="O346" s="183"/>
      <c r="P346" s="183"/>
      <c r="Q346" s="183"/>
    </row>
    <row r="347" spans="1:17" ht="21.2" hidden="1" customHeight="1" thickBot="1">
      <c r="A347" s="359" t="s">
        <v>523</v>
      </c>
      <c r="G347" s="183"/>
      <c r="H347" s="183"/>
      <c r="I347" s="183"/>
      <c r="J347" s="183"/>
      <c r="K347" s="183"/>
      <c r="L347" s="183"/>
      <c r="M347" s="183"/>
      <c r="N347" s="183"/>
      <c r="O347" s="183"/>
      <c r="P347" s="183"/>
      <c r="Q347" s="183"/>
    </row>
    <row r="348" spans="1:17" ht="34.5" hidden="1" customHeight="1">
      <c r="A348" s="1084" t="s">
        <v>519</v>
      </c>
      <c r="B348" s="1085"/>
      <c r="C348" s="1085"/>
      <c r="D348" s="1085"/>
      <c r="E348" s="1085"/>
      <c r="F348" s="1086"/>
      <c r="G348" s="391" t="s">
        <v>535</v>
      </c>
      <c r="H348" s="388"/>
      <c r="I348" s="388" t="s">
        <v>550</v>
      </c>
      <c r="J348" s="1087" t="s">
        <v>462</v>
      </c>
      <c r="K348" s="1089"/>
      <c r="L348" s="1089"/>
      <c r="M348" s="1089"/>
      <c r="N348" s="1089"/>
      <c r="O348" s="1089"/>
      <c r="P348" s="1089"/>
      <c r="Q348" s="1089"/>
    </row>
    <row r="349" spans="1:17" ht="15.75" hidden="1">
      <c r="A349" s="296"/>
      <c r="B349" s="279" t="s">
        <v>207</v>
      </c>
      <c r="C349" s="233"/>
      <c r="D349" s="243"/>
      <c r="E349" s="251"/>
      <c r="F349" s="293"/>
      <c r="G349" s="185"/>
      <c r="H349" s="185"/>
      <c r="I349" s="185"/>
      <c r="J349" s="185"/>
      <c r="K349" s="185"/>
      <c r="L349" s="185"/>
      <c r="M349" s="185"/>
      <c r="N349" s="185"/>
      <c r="O349" s="185"/>
      <c r="P349" s="185"/>
      <c r="Q349" s="185"/>
    </row>
    <row r="350" spans="1:17" ht="16.5" hidden="1" thickBot="1">
      <c r="A350" s="371">
        <v>74</v>
      </c>
      <c r="B350" s="360"/>
      <c r="C350" s="361" t="s">
        <v>387</v>
      </c>
      <c r="D350" s="374"/>
      <c r="E350" s="365" t="s">
        <v>148</v>
      </c>
      <c r="F350" s="363" t="s">
        <v>169</v>
      </c>
      <c r="G350" s="386" t="s">
        <v>538</v>
      </c>
      <c r="H350" s="392"/>
      <c r="I350" s="392" t="s">
        <v>538</v>
      </c>
      <c r="J350" s="1082" t="s">
        <v>537</v>
      </c>
      <c r="K350" s="1083"/>
      <c r="L350" s="1083"/>
      <c r="M350" s="1083"/>
      <c r="N350" s="1083"/>
      <c r="O350" s="1083"/>
      <c r="P350" s="1083"/>
      <c r="Q350" s="1083"/>
    </row>
    <row r="351" spans="1:17" ht="21.2" hidden="1" customHeight="1">
      <c r="G351" s="183"/>
      <c r="H351" s="183"/>
      <c r="I351" s="183"/>
      <c r="J351" s="183"/>
      <c r="K351" s="183"/>
      <c r="L351" s="183"/>
      <c r="M351" s="183"/>
      <c r="N351" s="183"/>
      <c r="O351" s="183"/>
      <c r="P351" s="183"/>
      <c r="Q351" s="183"/>
    </row>
    <row r="352" spans="1:17" ht="21.2" hidden="1" customHeight="1">
      <c r="G352" s="183"/>
      <c r="H352" s="183"/>
      <c r="I352" s="183"/>
      <c r="J352" s="183"/>
      <c r="K352" s="183"/>
      <c r="L352" s="183"/>
      <c r="M352" s="183"/>
      <c r="N352" s="183"/>
      <c r="O352" s="183"/>
      <c r="P352" s="183"/>
      <c r="Q352" s="183"/>
    </row>
    <row r="353" spans="1:17" ht="21.2" hidden="1" customHeight="1" thickBot="1">
      <c r="A353" s="359" t="s">
        <v>524</v>
      </c>
      <c r="G353" s="183"/>
      <c r="H353" s="183"/>
      <c r="I353" s="183"/>
      <c r="J353" s="183"/>
      <c r="K353" s="183"/>
      <c r="L353" s="183"/>
      <c r="M353" s="183"/>
      <c r="N353" s="183"/>
      <c r="O353" s="183"/>
      <c r="P353" s="183"/>
      <c r="Q353" s="183"/>
    </row>
    <row r="354" spans="1:17" ht="71.45" hidden="1" customHeight="1">
      <c r="A354" s="1084" t="s">
        <v>519</v>
      </c>
      <c r="B354" s="1085"/>
      <c r="C354" s="1085"/>
      <c r="D354" s="1085"/>
      <c r="E354" s="1085"/>
      <c r="F354" s="1086"/>
      <c r="G354" s="391" t="str">
        <f>+C356</f>
        <v>Excluded Transmission Facilities</v>
      </c>
      <c r="H354" s="388"/>
      <c r="I354" s="1087" t="s">
        <v>553</v>
      </c>
      <c r="J354" s="1088"/>
      <c r="K354" s="1088"/>
      <c r="L354" s="1088"/>
      <c r="M354" s="1088"/>
      <c r="N354" s="1088"/>
      <c r="O354" s="1088"/>
      <c r="P354" s="1088"/>
      <c r="Q354" s="1088"/>
    </row>
    <row r="355" spans="1:17" ht="18" hidden="1">
      <c r="A355" s="330"/>
      <c r="B355" s="273" t="s">
        <v>210</v>
      </c>
      <c r="C355" s="274"/>
      <c r="D355" s="275"/>
      <c r="E355" s="276"/>
      <c r="F355" s="331"/>
      <c r="G355" s="379"/>
      <c r="H355" s="185"/>
      <c r="I355" s="185"/>
      <c r="J355" s="185"/>
      <c r="K355" s="185"/>
      <c r="L355" s="185"/>
      <c r="M355" s="185"/>
      <c r="N355" s="185"/>
      <c r="O355" s="185"/>
      <c r="P355" s="185"/>
      <c r="Q355" s="185"/>
    </row>
    <row r="356" spans="1:17" ht="18" hidden="1">
      <c r="A356" s="296">
        <v>145</v>
      </c>
      <c r="B356" s="277"/>
      <c r="C356" s="254" t="s">
        <v>211</v>
      </c>
      <c r="D356" s="275"/>
      <c r="E356" s="256" t="s">
        <v>339</v>
      </c>
      <c r="F356" s="297" t="s">
        <v>221</v>
      </c>
      <c r="G356" s="382" t="s">
        <v>554</v>
      </c>
      <c r="H356" s="407"/>
      <c r="I356" s="1080" t="s">
        <v>556</v>
      </c>
      <c r="J356" s="1081"/>
      <c r="K356" s="1081"/>
      <c r="L356" s="1081"/>
      <c r="M356" s="1081"/>
      <c r="N356" s="1081"/>
      <c r="O356" s="1081"/>
      <c r="P356" s="1081"/>
      <c r="Q356" s="1081"/>
    </row>
    <row r="357" spans="1:17" ht="18" hidden="1">
      <c r="A357" s="296"/>
      <c r="B357" s="277"/>
      <c r="C357" s="254"/>
      <c r="D357" s="275"/>
      <c r="E357" s="256"/>
      <c r="F357" s="297"/>
      <c r="G357" s="379"/>
      <c r="H357" s="185"/>
      <c r="I357" s="185"/>
      <c r="J357" s="185"/>
      <c r="K357" s="185"/>
      <c r="L357" s="185"/>
      <c r="M357" s="185"/>
      <c r="N357" s="185"/>
      <c r="O357" s="185"/>
      <c r="P357" s="229"/>
      <c r="Q357" s="185"/>
    </row>
    <row r="358" spans="1:17" ht="18" hidden="1" customHeight="1">
      <c r="A358" s="296"/>
      <c r="B358" s="277"/>
      <c r="C358" s="254"/>
      <c r="D358" s="275"/>
      <c r="E358" s="256"/>
      <c r="F358" s="297"/>
      <c r="G358" s="381" t="s">
        <v>552</v>
      </c>
      <c r="H358" s="229"/>
      <c r="I358" s="1080" t="s">
        <v>557</v>
      </c>
      <c r="J358" s="1081"/>
      <c r="K358" s="1081"/>
      <c r="L358" s="1081"/>
      <c r="M358" s="1081"/>
      <c r="N358" s="1081"/>
      <c r="O358" s="1081"/>
      <c r="P358" s="1081"/>
      <c r="Q358" s="1081"/>
    </row>
    <row r="359" spans="1:17" ht="18" hidden="1" customHeight="1">
      <c r="A359" s="296"/>
      <c r="B359" s="277"/>
      <c r="C359" s="254"/>
      <c r="D359" s="275"/>
      <c r="E359" s="256"/>
      <c r="F359" s="297"/>
      <c r="G359" s="381" t="s">
        <v>552</v>
      </c>
      <c r="H359" s="229"/>
      <c r="I359" s="1080" t="s">
        <v>557</v>
      </c>
      <c r="J359" s="1081"/>
      <c r="K359" s="1081"/>
      <c r="L359" s="1081"/>
      <c r="M359" s="1081"/>
      <c r="N359" s="1081"/>
      <c r="O359" s="1081"/>
      <c r="P359" s="1081"/>
      <c r="Q359" s="1081"/>
    </row>
    <row r="360" spans="1:17" ht="18" hidden="1" customHeight="1">
      <c r="A360" s="296"/>
      <c r="B360" s="277"/>
      <c r="C360" s="254"/>
      <c r="D360" s="275"/>
      <c r="E360" s="256"/>
      <c r="F360" s="297"/>
      <c r="G360" s="381" t="s">
        <v>552</v>
      </c>
      <c r="H360" s="229"/>
      <c r="I360" s="1080" t="s">
        <v>557</v>
      </c>
      <c r="J360" s="1081"/>
      <c r="K360" s="1081"/>
      <c r="L360" s="1081"/>
      <c r="M360" s="1081"/>
      <c r="N360" s="1081"/>
      <c r="O360" s="1081"/>
      <c r="P360" s="1081"/>
      <c r="Q360" s="1081"/>
    </row>
    <row r="361" spans="1:17" ht="18" hidden="1" customHeight="1">
      <c r="A361" s="296"/>
      <c r="B361" s="277"/>
      <c r="C361" s="254"/>
      <c r="D361" s="275"/>
      <c r="E361" s="256"/>
      <c r="F361" s="297"/>
      <c r="G361" s="381" t="s">
        <v>552</v>
      </c>
      <c r="H361" s="229"/>
      <c r="I361" s="1080" t="s">
        <v>557</v>
      </c>
      <c r="J361" s="1081"/>
      <c r="K361" s="1081"/>
      <c r="L361" s="1081"/>
      <c r="M361" s="1081"/>
      <c r="N361" s="1081"/>
      <c r="O361" s="1081"/>
      <c r="P361" s="1081"/>
      <c r="Q361" s="1081"/>
    </row>
    <row r="362" spans="1:17" ht="18" hidden="1" customHeight="1">
      <c r="A362" s="204"/>
      <c r="B362" s="205"/>
      <c r="C362" s="205"/>
      <c r="D362" s="205"/>
      <c r="E362" s="205"/>
      <c r="F362" s="206"/>
      <c r="G362" s="381" t="s">
        <v>552</v>
      </c>
      <c r="H362" s="229"/>
      <c r="I362" s="1080" t="s">
        <v>557</v>
      </c>
      <c r="J362" s="1081"/>
      <c r="K362" s="1081"/>
      <c r="L362" s="1081"/>
      <c r="M362" s="1081"/>
      <c r="N362" s="1081"/>
      <c r="O362" s="1081"/>
      <c r="P362" s="1081"/>
      <c r="Q362" s="1081"/>
    </row>
    <row r="363" spans="1:17" ht="18" hidden="1" customHeight="1">
      <c r="A363" s="204"/>
      <c r="B363" s="205"/>
      <c r="C363" s="205"/>
      <c r="D363" s="205"/>
      <c r="E363" s="205"/>
      <c r="F363" s="206"/>
      <c r="G363" s="381" t="s">
        <v>552</v>
      </c>
      <c r="H363" s="229"/>
      <c r="I363" s="1080" t="s">
        <v>557</v>
      </c>
      <c r="J363" s="1081"/>
      <c r="K363" s="1081"/>
      <c r="L363" s="1081"/>
      <c r="M363" s="1081"/>
      <c r="N363" s="1081"/>
      <c r="O363" s="1081"/>
      <c r="P363" s="1081"/>
      <c r="Q363" s="1081"/>
    </row>
    <row r="364" spans="1:17" ht="18" hidden="1" customHeight="1">
      <c r="A364" s="204"/>
      <c r="B364" s="205"/>
      <c r="C364" s="205"/>
      <c r="D364" s="205"/>
      <c r="E364" s="205"/>
      <c r="F364" s="206"/>
      <c r="G364" s="381" t="s">
        <v>552</v>
      </c>
      <c r="H364" s="229"/>
      <c r="I364" s="1080" t="s">
        <v>557</v>
      </c>
      <c r="J364" s="1081"/>
      <c r="K364" s="1081"/>
      <c r="L364" s="1081"/>
      <c r="M364" s="1081"/>
      <c r="N364" s="1081"/>
      <c r="O364" s="1081"/>
      <c r="P364" s="1081"/>
      <c r="Q364" s="1081"/>
    </row>
    <row r="365" spans="1:17" ht="18" hidden="1" customHeight="1">
      <c r="A365" s="204"/>
      <c r="B365" s="205"/>
      <c r="C365" s="205"/>
      <c r="D365" s="205"/>
      <c r="E365" s="205"/>
      <c r="F365" s="206"/>
      <c r="G365" s="381" t="s">
        <v>552</v>
      </c>
      <c r="H365" s="229"/>
      <c r="I365" s="1080" t="s">
        <v>557</v>
      </c>
      <c r="J365" s="1081"/>
      <c r="K365" s="1081"/>
      <c r="L365" s="1081"/>
      <c r="M365" s="1081"/>
      <c r="N365" s="1081"/>
      <c r="O365" s="1081"/>
      <c r="P365" s="1081"/>
      <c r="Q365" s="1081"/>
    </row>
    <row r="366" spans="1:17" ht="18" hidden="1" customHeight="1">
      <c r="A366" s="204"/>
      <c r="B366" s="205"/>
      <c r="C366" s="205"/>
      <c r="D366" s="205"/>
      <c r="E366" s="205"/>
      <c r="F366" s="206"/>
      <c r="G366" s="381" t="s">
        <v>552</v>
      </c>
      <c r="H366" s="229"/>
      <c r="I366" s="1080" t="s">
        <v>557</v>
      </c>
      <c r="J366" s="1081"/>
      <c r="K366" s="1081"/>
      <c r="L366" s="1081"/>
      <c r="M366" s="1081"/>
      <c r="N366" s="1081"/>
      <c r="O366" s="1081"/>
      <c r="P366" s="1081"/>
      <c r="Q366" s="1081"/>
    </row>
    <row r="367" spans="1:17" ht="18" hidden="1" customHeight="1">
      <c r="A367" s="204"/>
      <c r="B367" s="205"/>
      <c r="C367" s="205"/>
      <c r="D367" s="205"/>
      <c r="E367" s="205"/>
      <c r="F367" s="206"/>
      <c r="G367" s="381" t="s">
        <v>552</v>
      </c>
      <c r="H367" s="229"/>
      <c r="I367" s="1080" t="s">
        <v>557</v>
      </c>
      <c r="J367" s="1081"/>
      <c r="K367" s="1081"/>
      <c r="L367" s="1081"/>
      <c r="M367" s="1081"/>
      <c r="N367" s="1081"/>
      <c r="O367" s="1081"/>
      <c r="P367" s="1081"/>
      <c r="Q367" s="1081"/>
    </row>
    <row r="368" spans="1:17" ht="18" hidden="1" customHeight="1" thickBot="1">
      <c r="A368" s="207"/>
      <c r="B368" s="208"/>
      <c r="C368" s="208"/>
      <c r="D368" s="208"/>
      <c r="E368" s="208"/>
      <c r="F368" s="209"/>
      <c r="G368" s="384"/>
      <c r="H368" s="378"/>
      <c r="I368" s="378"/>
      <c r="J368" s="378"/>
      <c r="K368" s="393" t="s">
        <v>555</v>
      </c>
      <c r="L368" s="378"/>
      <c r="M368" s="378"/>
      <c r="N368" s="378"/>
      <c r="O368" s="378"/>
      <c r="P368" s="378"/>
      <c r="Q368" s="378"/>
    </row>
    <row r="369" spans="1:17" ht="21.2" hidden="1" customHeight="1">
      <c r="A369" s="205"/>
      <c r="B369" s="205"/>
      <c r="C369" s="205"/>
      <c r="D369" s="205"/>
      <c r="E369" s="205"/>
      <c r="F369" s="205"/>
      <c r="G369" s="185"/>
      <c r="H369" s="185"/>
      <c r="I369" s="185"/>
      <c r="J369" s="185"/>
      <c r="K369" s="186"/>
      <c r="L369" s="185"/>
      <c r="M369" s="185"/>
      <c r="N369" s="185"/>
      <c r="O369" s="185"/>
      <c r="P369" s="185"/>
      <c r="Q369" s="185"/>
    </row>
    <row r="370" spans="1:17" ht="21.2" hidden="1" customHeight="1">
      <c r="A370" s="205"/>
      <c r="B370" s="205"/>
      <c r="C370" s="205"/>
      <c r="D370" s="205"/>
      <c r="E370" s="205"/>
      <c r="F370" s="205"/>
      <c r="G370" s="185"/>
      <c r="H370" s="185"/>
      <c r="I370" s="185"/>
      <c r="J370" s="185"/>
      <c r="K370" s="186"/>
      <c r="L370" s="185"/>
      <c r="M370" s="185"/>
      <c r="N370" s="185"/>
      <c r="O370" s="185"/>
      <c r="P370" s="185"/>
      <c r="Q370" s="185"/>
    </row>
    <row r="371" spans="1:17" ht="21.2" hidden="1" customHeight="1" thickBot="1">
      <c r="A371" s="359" t="s">
        <v>522</v>
      </c>
      <c r="G371" s="183"/>
      <c r="H371" s="183"/>
      <c r="I371" s="183"/>
      <c r="J371" s="183"/>
      <c r="K371" s="183"/>
      <c r="L371" s="183"/>
      <c r="M371" s="183"/>
      <c r="N371" s="183"/>
      <c r="O371" s="183"/>
      <c r="P371" s="183"/>
      <c r="Q371" s="183"/>
    </row>
    <row r="372" spans="1:17" ht="51.75" hidden="1" customHeight="1">
      <c r="A372" s="1084" t="s">
        <v>519</v>
      </c>
      <c r="B372" s="1085"/>
      <c r="C372" s="1085"/>
      <c r="D372" s="1085"/>
      <c r="E372" s="1085"/>
      <c r="F372" s="1086"/>
      <c r="G372" s="391" t="str">
        <f>+C374</f>
        <v>Outstanding Network Credits</v>
      </c>
      <c r="H372" s="388"/>
      <c r="I372" s="1087" t="s">
        <v>560</v>
      </c>
      <c r="J372" s="1088"/>
      <c r="K372" s="1088"/>
      <c r="L372" s="1088"/>
      <c r="M372" s="1088"/>
      <c r="N372" s="1088"/>
      <c r="O372" s="1088"/>
      <c r="P372" s="1088"/>
      <c r="Q372" s="1088"/>
    </row>
    <row r="373" spans="1:17" ht="15.75" hidden="1">
      <c r="A373" s="317"/>
      <c r="B373" s="252" t="s">
        <v>506</v>
      </c>
      <c r="C373" s="318"/>
      <c r="D373" s="259"/>
      <c r="E373" s="319"/>
      <c r="F373" s="286"/>
      <c r="G373" s="379"/>
      <c r="H373" s="185"/>
      <c r="I373" s="185"/>
      <c r="J373" s="185"/>
      <c r="K373" s="185"/>
      <c r="L373" s="185"/>
      <c r="M373" s="185"/>
      <c r="N373" s="185"/>
      <c r="O373" s="185"/>
      <c r="P373" s="185"/>
      <c r="Q373" s="185"/>
    </row>
    <row r="374" spans="1:17" ht="15.75" hidden="1">
      <c r="A374" s="296">
        <f>+A94</f>
        <v>55</v>
      </c>
      <c r="B374" s="277"/>
      <c r="C374" s="277" t="str">
        <f>+C94</f>
        <v>Outstanding Network Credits</v>
      </c>
      <c r="D374" s="277"/>
      <c r="E374" s="325" t="str">
        <f>+E94</f>
        <v>(Note N)</v>
      </c>
      <c r="F374" s="375" t="str">
        <f>+F94</f>
        <v>From PJM</v>
      </c>
      <c r="G374" s="382" t="s">
        <v>554</v>
      </c>
      <c r="H374" s="407"/>
      <c r="I374" s="1080" t="s">
        <v>558</v>
      </c>
      <c r="J374" s="1081"/>
      <c r="K374" s="1081"/>
      <c r="L374" s="1081"/>
      <c r="M374" s="1081"/>
      <c r="N374" s="1081"/>
      <c r="O374" s="1081"/>
      <c r="P374" s="1081"/>
      <c r="Q374" s="1081"/>
    </row>
    <row r="375" spans="1:17" ht="15.75" hidden="1">
      <c r="A375" s="296"/>
      <c r="B375" s="277"/>
      <c r="C375" s="277"/>
      <c r="D375" s="277"/>
      <c r="E375" s="325"/>
      <c r="F375" s="375"/>
      <c r="G375" s="379"/>
      <c r="H375" s="185"/>
      <c r="I375" s="185"/>
      <c r="J375" s="185"/>
      <c r="K375" s="185"/>
      <c r="L375" s="185"/>
      <c r="M375" s="185"/>
      <c r="N375" s="185"/>
      <c r="O375" s="185"/>
      <c r="P375" s="229"/>
      <c r="Q375" s="185"/>
    </row>
    <row r="376" spans="1:17" ht="15.75" hidden="1">
      <c r="A376" s="296"/>
      <c r="B376" s="277"/>
      <c r="C376" s="277"/>
      <c r="D376" s="277"/>
      <c r="E376" s="325"/>
      <c r="F376" s="375"/>
      <c r="G376" s="381" t="s">
        <v>552</v>
      </c>
      <c r="H376" s="229"/>
      <c r="I376" s="1080" t="s">
        <v>559</v>
      </c>
      <c r="J376" s="1081"/>
      <c r="K376" s="1081"/>
      <c r="L376" s="1081"/>
      <c r="M376" s="1081"/>
      <c r="N376" s="1081"/>
      <c r="O376" s="1081"/>
      <c r="P376" s="1081"/>
      <c r="Q376" s="1081"/>
    </row>
    <row r="377" spans="1:17" ht="15.75" hidden="1" customHeight="1">
      <c r="A377" s="296"/>
      <c r="B377" s="277"/>
      <c r="C377" s="277"/>
      <c r="D377" s="277"/>
      <c r="E377" s="325"/>
      <c r="F377" s="375"/>
      <c r="G377" s="381" t="s">
        <v>552</v>
      </c>
      <c r="H377" s="229"/>
      <c r="I377" s="1080" t="s">
        <v>559</v>
      </c>
      <c r="J377" s="1081"/>
      <c r="K377" s="1081"/>
      <c r="L377" s="1081"/>
      <c r="M377" s="1081"/>
      <c r="N377" s="1081"/>
      <c r="O377" s="1081"/>
      <c r="P377" s="1081"/>
      <c r="Q377" s="1081"/>
    </row>
    <row r="378" spans="1:17" ht="15.75" hidden="1" customHeight="1">
      <c r="A378" s="296"/>
      <c r="B378" s="277"/>
      <c r="C378" s="277"/>
      <c r="D378" s="277"/>
      <c r="E378" s="325"/>
      <c r="F378" s="375"/>
      <c r="G378" s="381" t="s">
        <v>552</v>
      </c>
      <c r="H378" s="229"/>
      <c r="I378" s="1080" t="s">
        <v>559</v>
      </c>
      <c r="J378" s="1081"/>
      <c r="K378" s="1081"/>
      <c r="L378" s="1081"/>
      <c r="M378" s="1081"/>
      <c r="N378" s="1081"/>
      <c r="O378" s="1081"/>
      <c r="P378" s="1081"/>
      <c r="Q378" s="1081"/>
    </row>
    <row r="379" spans="1:17" ht="15.75" hidden="1" customHeight="1">
      <c r="A379" s="296"/>
      <c r="B379" s="277"/>
      <c r="C379" s="277"/>
      <c r="D379" s="277"/>
      <c r="E379" s="325"/>
      <c r="F379" s="375"/>
      <c r="G379" s="381" t="s">
        <v>552</v>
      </c>
      <c r="H379" s="229"/>
      <c r="I379" s="1080" t="s">
        <v>559</v>
      </c>
      <c r="J379" s="1081"/>
      <c r="K379" s="1081"/>
      <c r="L379" s="1081"/>
      <c r="M379" s="1081"/>
      <c r="N379" s="1081"/>
      <c r="O379" s="1081"/>
      <c r="P379" s="1081"/>
      <c r="Q379" s="1081"/>
    </row>
    <row r="380" spans="1:17" ht="15.75" hidden="1" customHeight="1">
      <c r="A380" s="296"/>
      <c r="B380" s="277"/>
      <c r="C380" s="277"/>
      <c r="D380" s="277"/>
      <c r="E380" s="325"/>
      <c r="F380" s="375"/>
      <c r="G380" s="381" t="s">
        <v>552</v>
      </c>
      <c r="H380" s="229"/>
      <c r="I380" s="1080" t="s">
        <v>559</v>
      </c>
      <c r="J380" s="1081"/>
      <c r="K380" s="1081"/>
      <c r="L380" s="1081"/>
      <c r="M380" s="1081"/>
      <c r="N380" s="1081"/>
      <c r="O380" s="1081"/>
      <c r="P380" s="1081"/>
      <c r="Q380" s="1081"/>
    </row>
    <row r="381" spans="1:17" ht="15.75" hidden="1" customHeight="1">
      <c r="A381" s="296"/>
      <c r="B381" s="277"/>
      <c r="C381" s="277"/>
      <c r="D381" s="277"/>
      <c r="E381" s="325"/>
      <c r="F381" s="375"/>
      <c r="G381" s="381" t="s">
        <v>552</v>
      </c>
      <c r="H381" s="229"/>
      <c r="I381" s="1080" t="s">
        <v>559</v>
      </c>
      <c r="J381" s="1081"/>
      <c r="K381" s="1081"/>
      <c r="L381" s="1081"/>
      <c r="M381" s="1081"/>
      <c r="N381" s="1081"/>
      <c r="O381" s="1081"/>
      <c r="P381" s="1081"/>
      <c r="Q381" s="1081"/>
    </row>
    <row r="382" spans="1:17" ht="15.75" hidden="1" customHeight="1">
      <c r="A382" s="296"/>
      <c r="B382" s="277"/>
      <c r="C382" s="277"/>
      <c r="D382" s="277"/>
      <c r="E382" s="325"/>
      <c r="F382" s="375"/>
      <c r="G382" s="381" t="s">
        <v>552</v>
      </c>
      <c r="H382" s="229"/>
      <c r="I382" s="1080" t="s">
        <v>559</v>
      </c>
      <c r="J382" s="1081"/>
      <c r="K382" s="1081"/>
      <c r="L382" s="1081"/>
      <c r="M382" s="1081"/>
      <c r="N382" s="1081"/>
      <c r="O382" s="1081"/>
      <c r="P382" s="1081"/>
      <c r="Q382" s="1081"/>
    </row>
    <row r="383" spans="1:17" ht="16.5" hidden="1" thickBot="1">
      <c r="A383" s="349"/>
      <c r="B383" s="354"/>
      <c r="C383" s="354"/>
      <c r="D383" s="354"/>
      <c r="E383" s="362"/>
      <c r="F383" s="376"/>
      <c r="G383" s="384"/>
      <c r="H383" s="378"/>
      <c r="I383" s="378"/>
      <c r="J383" s="378"/>
      <c r="K383" s="393" t="s">
        <v>555</v>
      </c>
      <c r="L383" s="378"/>
      <c r="M383" s="378"/>
      <c r="N383" s="378"/>
      <c r="O383" s="378"/>
      <c r="P383" s="378"/>
      <c r="Q383" s="378"/>
    </row>
    <row r="384" spans="1:17" ht="21.2" hidden="1" customHeight="1">
      <c r="A384" s="277"/>
      <c r="B384" s="277"/>
      <c r="C384" s="277"/>
      <c r="D384" s="277"/>
      <c r="E384" s="325"/>
      <c r="F384" s="277"/>
      <c r="G384" s="185"/>
      <c r="H384" s="185"/>
      <c r="I384" s="185"/>
      <c r="J384" s="185"/>
      <c r="K384" s="186"/>
      <c r="L384" s="185"/>
      <c r="M384" s="185"/>
      <c r="N384" s="185"/>
      <c r="O384" s="185"/>
      <c r="P384" s="185"/>
      <c r="Q384" s="185"/>
    </row>
    <row r="385" spans="1:17" ht="21.2" hidden="1" customHeight="1">
      <c r="A385" s="277"/>
      <c r="B385" s="277"/>
      <c r="C385" s="277"/>
      <c r="D385" s="277"/>
      <c r="E385" s="325"/>
      <c r="F385" s="277"/>
      <c r="G385" s="185"/>
      <c r="H385" s="185"/>
      <c r="I385" s="185"/>
      <c r="J385" s="185"/>
      <c r="K385" s="186"/>
      <c r="L385" s="185"/>
      <c r="M385" s="185"/>
      <c r="N385" s="185"/>
      <c r="O385" s="185"/>
      <c r="P385" s="185"/>
      <c r="Q385" s="185"/>
    </row>
    <row r="386" spans="1:17" ht="21.2" hidden="1" customHeight="1">
      <c r="A386" s="277"/>
      <c r="B386" s="277"/>
      <c r="C386" s="277"/>
      <c r="D386" s="277"/>
      <c r="E386" s="325"/>
      <c r="F386" s="277"/>
      <c r="G386" s="185"/>
      <c r="H386" s="185"/>
      <c r="I386" s="185"/>
      <c r="J386" s="185"/>
      <c r="K386" s="186"/>
      <c r="L386" s="185"/>
      <c r="M386" s="185"/>
      <c r="N386" s="185"/>
      <c r="O386" s="185"/>
      <c r="P386" s="185"/>
      <c r="Q386" s="185"/>
    </row>
    <row r="387" spans="1:17" ht="21.2" hidden="1" customHeight="1" thickBot="1">
      <c r="A387" s="359" t="s">
        <v>562</v>
      </c>
      <c r="G387" s="183"/>
      <c r="H387" s="183"/>
      <c r="I387" s="183"/>
      <c r="J387" s="183"/>
      <c r="K387" s="183"/>
      <c r="L387" s="183"/>
      <c r="M387" s="183"/>
      <c r="N387" s="183"/>
      <c r="O387" s="183"/>
      <c r="P387" s="183"/>
      <c r="Q387" s="183"/>
    </row>
    <row r="388" spans="1:17" ht="50.25" hidden="1" customHeight="1">
      <c r="A388" s="1084" t="s">
        <v>519</v>
      </c>
      <c r="B388" s="1085"/>
      <c r="C388" s="1085"/>
      <c r="D388" s="1085"/>
      <c r="E388" s="1085"/>
      <c r="F388" s="1086"/>
      <c r="G388" s="391" t="str">
        <f>+C390</f>
        <v>Interest on Network Credits</v>
      </c>
      <c r="H388" s="388"/>
      <c r="I388" s="1087" t="s">
        <v>563</v>
      </c>
      <c r="J388" s="1088"/>
      <c r="K388" s="1088"/>
      <c r="L388" s="1088"/>
      <c r="M388" s="1088"/>
      <c r="N388" s="1088"/>
      <c r="O388" s="1088"/>
      <c r="P388" s="1088"/>
      <c r="Q388" s="1088"/>
    </row>
    <row r="389" spans="1:17" ht="21.2" hidden="1" customHeight="1">
      <c r="A389" s="296"/>
      <c r="B389" s="252" t="str">
        <f>+B245</f>
        <v>Revenue Credits &amp; Interest on Network Credits</v>
      </c>
      <c r="C389" s="277"/>
      <c r="D389" s="277"/>
      <c r="E389" s="277"/>
      <c r="F389" s="375"/>
      <c r="G389" s="379"/>
      <c r="H389" s="185"/>
      <c r="I389" s="185"/>
      <c r="J389" s="185"/>
      <c r="K389" s="185"/>
      <c r="L389" s="185"/>
      <c r="M389" s="185"/>
      <c r="N389" s="185"/>
      <c r="O389" s="185"/>
      <c r="P389" s="185"/>
      <c r="Q389" s="185"/>
    </row>
    <row r="390" spans="1:17" ht="21.2" hidden="1" customHeight="1">
      <c r="A390" s="296">
        <f>+A247</f>
        <v>154</v>
      </c>
      <c r="B390" s="277"/>
      <c r="C390" s="277" t="str">
        <f>+C247</f>
        <v>Interest on Network Credits</v>
      </c>
      <c r="D390" s="277"/>
      <c r="E390" s="325" t="str">
        <f>+E247</f>
        <v>(Note N)</v>
      </c>
      <c r="F390" s="375" t="str">
        <f>+F247</f>
        <v>PJM Data</v>
      </c>
      <c r="G390" s="382" t="s">
        <v>554</v>
      </c>
      <c r="H390" s="407"/>
      <c r="I390" s="1080" t="s">
        <v>558</v>
      </c>
      <c r="J390" s="1081"/>
      <c r="K390" s="1081"/>
      <c r="L390" s="1081"/>
      <c r="M390" s="1081"/>
      <c r="N390" s="1081"/>
      <c r="O390" s="1081"/>
      <c r="P390" s="1081"/>
      <c r="Q390" s="1081"/>
    </row>
    <row r="391" spans="1:17" ht="21.2" hidden="1" customHeight="1">
      <c r="A391" s="296"/>
      <c r="B391" s="277"/>
      <c r="C391" s="277"/>
      <c r="D391" s="277"/>
      <c r="E391" s="325"/>
      <c r="F391" s="375"/>
      <c r="G391" s="379"/>
      <c r="H391" s="185"/>
      <c r="I391" s="185"/>
      <c r="J391" s="185"/>
      <c r="K391" s="185"/>
      <c r="L391" s="185"/>
      <c r="M391" s="185"/>
      <c r="N391" s="185"/>
      <c r="O391" s="185"/>
      <c r="P391" s="229"/>
      <c r="Q391" s="185"/>
    </row>
    <row r="392" spans="1:17" ht="21.2" hidden="1" customHeight="1">
      <c r="A392" s="296"/>
      <c r="B392" s="277"/>
      <c r="C392" s="277"/>
      <c r="D392" s="277"/>
      <c r="E392" s="325"/>
      <c r="F392" s="375"/>
      <c r="G392" s="381" t="s">
        <v>552</v>
      </c>
      <c r="H392" s="229"/>
      <c r="I392" s="1080" t="s">
        <v>564</v>
      </c>
      <c r="J392" s="1081"/>
      <c r="K392" s="1081"/>
      <c r="L392" s="1081"/>
      <c r="M392" s="1081"/>
      <c r="N392" s="1081"/>
      <c r="O392" s="1081"/>
      <c r="P392" s="1081"/>
      <c r="Q392" s="1081"/>
    </row>
    <row r="393" spans="1:17" ht="21.2" hidden="1" customHeight="1">
      <c r="A393" s="296"/>
      <c r="B393" s="277"/>
      <c r="C393" s="277"/>
      <c r="D393" s="277"/>
      <c r="E393" s="325"/>
      <c r="F393" s="375"/>
      <c r="G393" s="381" t="s">
        <v>552</v>
      </c>
      <c r="H393" s="229"/>
      <c r="I393" s="1080" t="s">
        <v>564</v>
      </c>
      <c r="J393" s="1081"/>
      <c r="K393" s="1081"/>
      <c r="L393" s="1081"/>
      <c r="M393" s="1081"/>
      <c r="N393" s="1081"/>
      <c r="O393" s="1081"/>
      <c r="P393" s="1081"/>
      <c r="Q393" s="1081"/>
    </row>
    <row r="394" spans="1:17" ht="21.2" hidden="1" customHeight="1">
      <c r="A394" s="296"/>
      <c r="B394" s="277"/>
      <c r="C394" s="277"/>
      <c r="D394" s="277"/>
      <c r="E394" s="325"/>
      <c r="F394" s="375"/>
      <c r="G394" s="381" t="s">
        <v>552</v>
      </c>
      <c r="H394" s="229"/>
      <c r="I394" s="1080" t="s">
        <v>564</v>
      </c>
      <c r="J394" s="1081"/>
      <c r="K394" s="1081"/>
      <c r="L394" s="1081"/>
      <c r="M394" s="1081"/>
      <c r="N394" s="1081"/>
      <c r="O394" s="1081"/>
      <c r="P394" s="1081"/>
      <c r="Q394" s="1081"/>
    </row>
    <row r="395" spans="1:17" ht="21.2" hidden="1" customHeight="1">
      <c r="A395" s="296"/>
      <c r="B395" s="277"/>
      <c r="C395" s="277"/>
      <c r="D395" s="277"/>
      <c r="E395" s="325"/>
      <c r="F395" s="375"/>
      <c r="G395" s="381" t="s">
        <v>552</v>
      </c>
      <c r="H395" s="229"/>
      <c r="I395" s="1080" t="s">
        <v>564</v>
      </c>
      <c r="J395" s="1081"/>
      <c r="K395" s="1081"/>
      <c r="L395" s="1081"/>
      <c r="M395" s="1081"/>
      <c r="N395" s="1081"/>
      <c r="O395" s="1081"/>
      <c r="P395" s="1081"/>
      <c r="Q395" s="1081"/>
    </row>
    <row r="396" spans="1:17" ht="21.2" hidden="1" customHeight="1">
      <c r="A396" s="296"/>
      <c r="B396" s="277"/>
      <c r="C396" s="277"/>
      <c r="D396" s="277"/>
      <c r="E396" s="325"/>
      <c r="F396" s="375"/>
      <c r="G396" s="381" t="s">
        <v>552</v>
      </c>
      <c r="H396" s="229"/>
      <c r="I396" s="1080" t="s">
        <v>564</v>
      </c>
      <c r="J396" s="1081"/>
      <c r="K396" s="1081"/>
      <c r="L396" s="1081"/>
      <c r="M396" s="1081"/>
      <c r="N396" s="1081"/>
      <c r="O396" s="1081"/>
      <c r="P396" s="1081"/>
      <c r="Q396" s="1081"/>
    </row>
    <row r="397" spans="1:17" ht="21.2" hidden="1" customHeight="1">
      <c r="A397" s="296"/>
      <c r="B397" s="277"/>
      <c r="C397" s="277"/>
      <c r="D397" s="277"/>
      <c r="E397" s="325"/>
      <c r="F397" s="375"/>
      <c r="G397" s="381" t="s">
        <v>552</v>
      </c>
      <c r="H397" s="229"/>
      <c r="I397" s="1080" t="s">
        <v>564</v>
      </c>
      <c r="J397" s="1081"/>
      <c r="K397" s="1081"/>
      <c r="L397" s="1081"/>
      <c r="M397" s="1081"/>
      <c r="N397" s="1081"/>
      <c r="O397" s="1081"/>
      <c r="P397" s="1081"/>
      <c r="Q397" s="1081"/>
    </row>
    <row r="398" spans="1:17" ht="21.2" hidden="1" customHeight="1">
      <c r="A398" s="296"/>
      <c r="B398" s="277"/>
      <c r="C398" s="277"/>
      <c r="D398" s="277"/>
      <c r="E398" s="325"/>
      <c r="F398" s="375"/>
      <c r="G398" s="381" t="s">
        <v>552</v>
      </c>
      <c r="H398" s="229"/>
      <c r="I398" s="1080" t="s">
        <v>564</v>
      </c>
      <c r="J398" s="1081"/>
      <c r="K398" s="1081"/>
      <c r="L398" s="1081"/>
      <c r="M398" s="1081"/>
      <c r="N398" s="1081"/>
      <c r="O398" s="1081"/>
      <c r="P398" s="1081"/>
      <c r="Q398" s="1081"/>
    </row>
    <row r="399" spans="1:17" ht="21.2" hidden="1" customHeight="1">
      <c r="A399" s="296"/>
      <c r="B399" s="277"/>
      <c r="C399" s="277"/>
      <c r="D399" s="277"/>
      <c r="E399" s="325"/>
      <c r="F399" s="375"/>
      <c r="G399" s="381" t="s">
        <v>552</v>
      </c>
      <c r="H399" s="229"/>
      <c r="I399" s="1080" t="s">
        <v>564</v>
      </c>
      <c r="J399" s="1081"/>
      <c r="K399" s="1081"/>
      <c r="L399" s="1081"/>
      <c r="M399" s="1081"/>
      <c r="N399" s="1081"/>
      <c r="O399" s="1081"/>
      <c r="P399" s="1081"/>
      <c r="Q399" s="1081"/>
    </row>
    <row r="400" spans="1:17" ht="21.2" hidden="1" customHeight="1">
      <c r="A400" s="296"/>
      <c r="B400" s="277"/>
      <c r="C400" s="277"/>
      <c r="D400" s="277"/>
      <c r="E400" s="325"/>
      <c r="F400" s="375"/>
      <c r="G400" s="381" t="s">
        <v>552</v>
      </c>
      <c r="H400" s="229"/>
      <c r="I400" s="1080" t="s">
        <v>564</v>
      </c>
      <c r="J400" s="1081"/>
      <c r="K400" s="1081"/>
      <c r="L400" s="1081"/>
      <c r="M400" s="1081"/>
      <c r="N400" s="1081"/>
      <c r="O400" s="1081"/>
      <c r="P400" s="1081"/>
      <c r="Q400" s="1081"/>
    </row>
    <row r="401" spans="1:17" ht="21.2" hidden="1" customHeight="1">
      <c r="A401" s="296"/>
      <c r="B401" s="277"/>
      <c r="C401" s="277"/>
      <c r="D401" s="277"/>
      <c r="E401" s="325"/>
      <c r="F401" s="375"/>
      <c r="G401" s="381" t="s">
        <v>552</v>
      </c>
      <c r="H401" s="229"/>
      <c r="I401" s="1080" t="s">
        <v>564</v>
      </c>
      <c r="J401" s="1081"/>
      <c r="K401" s="1081"/>
      <c r="L401" s="1081"/>
      <c r="M401" s="1081"/>
      <c r="N401" s="1081"/>
      <c r="O401" s="1081"/>
      <c r="P401" s="1081"/>
      <c r="Q401" s="1081"/>
    </row>
    <row r="402" spans="1:17" ht="21.2" hidden="1" customHeight="1" thickBot="1">
      <c r="A402" s="349"/>
      <c r="B402" s="354"/>
      <c r="C402" s="354"/>
      <c r="D402" s="354"/>
      <c r="E402" s="362"/>
      <c r="F402" s="376"/>
      <c r="G402" s="384"/>
      <c r="H402" s="378"/>
      <c r="I402" s="378"/>
      <c r="J402" s="378"/>
      <c r="K402" s="393" t="s">
        <v>555</v>
      </c>
      <c r="L402" s="378"/>
      <c r="M402" s="378"/>
      <c r="N402" s="378"/>
      <c r="O402" s="378"/>
      <c r="P402" s="378"/>
      <c r="Q402" s="378"/>
    </row>
    <row r="403" spans="1:17" ht="21.2" hidden="1" customHeight="1">
      <c r="A403" s="277"/>
      <c r="B403" s="277"/>
      <c r="C403" s="277"/>
      <c r="D403" s="277"/>
      <c r="E403" s="325"/>
      <c r="F403" s="277"/>
      <c r="G403" s="185"/>
      <c r="H403" s="185"/>
      <c r="I403" s="185"/>
      <c r="J403" s="185"/>
      <c r="K403" s="186"/>
      <c r="L403" s="185"/>
      <c r="M403" s="185"/>
      <c r="N403" s="185"/>
      <c r="O403" s="185"/>
      <c r="P403" s="185"/>
      <c r="Q403" s="185"/>
    </row>
    <row r="404" spans="1:17" ht="21.2" hidden="1" customHeight="1">
      <c r="G404" s="183"/>
      <c r="H404" s="183"/>
      <c r="I404" s="183"/>
      <c r="J404" s="183"/>
      <c r="K404" s="183"/>
      <c r="L404" s="183"/>
      <c r="M404" s="183"/>
      <c r="N404" s="183"/>
      <c r="O404" s="183"/>
      <c r="P404" s="183"/>
      <c r="Q404" s="183"/>
    </row>
    <row r="405" spans="1:17" ht="21.2" hidden="1" customHeight="1" thickBot="1">
      <c r="A405" s="359" t="s">
        <v>530</v>
      </c>
      <c r="G405" s="183"/>
      <c r="H405" s="183"/>
      <c r="I405" s="183"/>
      <c r="J405" s="183"/>
      <c r="K405" s="183"/>
      <c r="L405" s="183"/>
      <c r="M405" s="183"/>
      <c r="N405" s="183"/>
      <c r="O405" s="183"/>
      <c r="P405" s="183"/>
      <c r="Q405" s="183"/>
    </row>
    <row r="406" spans="1:17" ht="21.2" hidden="1" customHeight="1">
      <c r="A406" s="1084" t="s">
        <v>519</v>
      </c>
      <c r="B406" s="1085"/>
      <c r="C406" s="1085"/>
      <c r="D406" s="1085"/>
      <c r="E406" s="1085"/>
      <c r="F406" s="1086"/>
      <c r="G406" s="391" t="str">
        <f>+C408</f>
        <v>1 CP Peak</v>
      </c>
      <c r="H406" s="388"/>
      <c r="I406" s="1087" t="s">
        <v>561</v>
      </c>
      <c r="J406" s="1088"/>
      <c r="K406" s="1088"/>
      <c r="L406" s="1088"/>
      <c r="M406" s="1088"/>
      <c r="N406" s="1088"/>
      <c r="O406" s="1088"/>
      <c r="P406" s="1088"/>
      <c r="Q406" s="1088"/>
    </row>
    <row r="407" spans="1:17" ht="15.75" hidden="1">
      <c r="A407" s="296"/>
      <c r="B407" s="273" t="s">
        <v>516</v>
      </c>
      <c r="C407" s="233"/>
      <c r="D407" s="233"/>
      <c r="E407" s="234"/>
      <c r="F407" s="293"/>
      <c r="G407" s="379"/>
      <c r="H407" s="185"/>
      <c r="I407" s="185"/>
      <c r="J407" s="185"/>
      <c r="K407" s="185"/>
      <c r="L407" s="185"/>
      <c r="M407" s="185"/>
      <c r="N407" s="185"/>
      <c r="O407" s="185"/>
      <c r="P407" s="185"/>
      <c r="Q407" s="185"/>
    </row>
    <row r="408" spans="1:17" ht="16.5" hidden="1" thickBot="1">
      <c r="A408" s="349">
        <v>167</v>
      </c>
      <c r="B408" s="350"/>
      <c r="C408" s="351" t="s">
        <v>303</v>
      </c>
      <c r="D408" s="351"/>
      <c r="E408" s="352" t="s">
        <v>371</v>
      </c>
      <c r="F408" s="353" t="s">
        <v>518</v>
      </c>
      <c r="G408" s="386" t="s">
        <v>538</v>
      </c>
      <c r="H408" s="392"/>
      <c r="I408" s="1082" t="str">
        <f>+I406</f>
        <v xml:space="preserve">Description &amp; PJM Documentation </v>
      </c>
      <c r="J408" s="1083"/>
      <c r="K408" s="1083"/>
      <c r="L408" s="1083"/>
      <c r="M408" s="1083"/>
      <c r="N408" s="1083"/>
      <c r="O408" s="1083"/>
      <c r="P408" s="1083"/>
      <c r="Q408" s="1083"/>
    </row>
    <row r="409" spans="1:17" hidden="1">
      <c r="G409" s="183"/>
      <c r="H409" s="183"/>
      <c r="I409" s="183"/>
      <c r="J409" s="183"/>
      <c r="K409" s="183"/>
      <c r="L409" s="183"/>
      <c r="M409" s="183"/>
      <c r="N409" s="183"/>
      <c r="O409" s="183"/>
      <c r="P409" s="183"/>
      <c r="Q409" s="183"/>
    </row>
    <row r="410" spans="1:17" hidden="1">
      <c r="G410" s="183"/>
      <c r="H410" s="183"/>
      <c r="I410" s="183"/>
      <c r="J410" s="183"/>
      <c r="K410" s="183"/>
      <c r="L410" s="183"/>
      <c r="M410" s="183"/>
      <c r="N410" s="183"/>
      <c r="O410" s="183"/>
      <c r="P410" s="183"/>
      <c r="Q410" s="183"/>
    </row>
    <row r="411" spans="1:17" hidden="1">
      <c r="G411" s="183"/>
      <c r="H411" s="183"/>
      <c r="I411" s="183"/>
      <c r="J411" s="183"/>
      <c r="K411" s="183"/>
      <c r="L411" s="183"/>
      <c r="M411" s="183"/>
      <c r="N411" s="183"/>
      <c r="O411" s="183"/>
      <c r="P411" s="183"/>
      <c r="Q411" s="183"/>
    </row>
    <row r="412" spans="1:17" hidden="1">
      <c r="G412" s="183"/>
      <c r="H412" s="183"/>
      <c r="I412" s="183"/>
      <c r="J412" s="183"/>
      <c r="K412" s="183"/>
      <c r="L412" s="183"/>
      <c r="M412" s="183"/>
      <c r="N412" s="183"/>
      <c r="O412" s="183"/>
      <c r="P412" s="183"/>
      <c r="Q412" s="183"/>
    </row>
    <row r="413" spans="1:17" hidden="1">
      <c r="G413" s="183"/>
      <c r="H413" s="183"/>
      <c r="I413" s="183"/>
      <c r="J413" s="183"/>
      <c r="K413" s="183"/>
      <c r="L413" s="183"/>
      <c r="M413" s="183"/>
      <c r="N413" s="183"/>
      <c r="O413" s="183"/>
      <c r="P413" s="183"/>
      <c r="Q413" s="183"/>
    </row>
    <row r="414" spans="1:17" hidden="1">
      <c r="G414" s="183"/>
      <c r="H414" s="183"/>
      <c r="I414" s="183"/>
      <c r="J414" s="183"/>
      <c r="K414" s="183"/>
      <c r="L414" s="183"/>
      <c r="M414" s="183"/>
      <c r="N414" s="183"/>
      <c r="O414" s="183"/>
      <c r="P414" s="183"/>
      <c r="Q414" s="183"/>
    </row>
    <row r="415" spans="1:17" hidden="1">
      <c r="G415" s="183"/>
      <c r="H415" s="183"/>
      <c r="I415" s="183"/>
      <c r="J415" s="183"/>
      <c r="K415" s="183"/>
      <c r="L415" s="183"/>
      <c r="M415" s="183"/>
      <c r="N415" s="183"/>
      <c r="O415" s="183"/>
      <c r="P415" s="183"/>
      <c r="Q415" s="183"/>
    </row>
    <row r="416" spans="1:17" hidden="1">
      <c r="G416" s="183"/>
      <c r="H416" s="183"/>
      <c r="I416" s="183"/>
      <c r="J416" s="183"/>
      <c r="K416" s="183"/>
      <c r="L416" s="183"/>
      <c r="M416" s="183"/>
      <c r="N416" s="183"/>
      <c r="O416" s="183"/>
      <c r="P416" s="183"/>
      <c r="Q416" s="183"/>
    </row>
    <row r="417" spans="3:17">
      <c r="G417" s="183"/>
      <c r="H417" s="183"/>
      <c r="I417" s="183"/>
      <c r="J417" s="183"/>
      <c r="K417" s="183"/>
      <c r="L417" s="183"/>
      <c r="M417" s="183"/>
      <c r="N417" s="183"/>
      <c r="O417" s="183"/>
      <c r="P417" s="183"/>
      <c r="Q417" s="183"/>
    </row>
    <row r="418" spans="3:17">
      <c r="G418" s="183"/>
      <c r="H418" s="183"/>
      <c r="I418" s="183"/>
      <c r="J418" s="183"/>
      <c r="K418" s="183"/>
      <c r="L418" s="183"/>
      <c r="M418" s="183"/>
      <c r="N418" s="183"/>
      <c r="O418" s="183"/>
      <c r="P418" s="183"/>
      <c r="Q418" s="183"/>
    </row>
    <row r="419" spans="3:17" ht="20.25">
      <c r="C419" s="394"/>
      <c r="G419" s="183"/>
      <c r="H419" s="183"/>
      <c r="I419" s="183"/>
      <c r="J419" s="183"/>
      <c r="K419" s="183"/>
      <c r="L419" s="183"/>
      <c r="M419" s="183"/>
      <c r="N419" s="183"/>
      <c r="O419" s="183"/>
      <c r="P419" s="183"/>
      <c r="Q419" s="183"/>
    </row>
    <row r="420" spans="3:17" ht="20.25">
      <c r="C420" s="394"/>
      <c r="G420" s="183"/>
      <c r="H420" s="183"/>
      <c r="I420" s="183"/>
      <c r="J420" s="183"/>
      <c r="K420" s="183"/>
      <c r="L420" s="183"/>
      <c r="M420" s="183"/>
      <c r="N420" s="183"/>
      <c r="O420" s="183"/>
      <c r="P420" s="183"/>
      <c r="Q420" s="183"/>
    </row>
    <row r="421" spans="3:17">
      <c r="G421" s="183"/>
      <c r="H421" s="183"/>
      <c r="I421" s="183"/>
      <c r="J421" s="183"/>
      <c r="K421" s="183"/>
      <c r="L421" s="183"/>
      <c r="M421" s="183"/>
      <c r="N421" s="183"/>
      <c r="O421" s="183"/>
      <c r="P421" s="183"/>
      <c r="Q421" s="183"/>
    </row>
    <row r="422" spans="3:17">
      <c r="G422" s="183"/>
      <c r="H422" s="183"/>
      <c r="I422" s="183"/>
      <c r="J422" s="183"/>
      <c r="K422" s="183"/>
      <c r="L422" s="183"/>
      <c r="M422" s="183"/>
      <c r="N422" s="183"/>
      <c r="O422" s="183"/>
      <c r="P422" s="183"/>
      <c r="Q422" s="183"/>
    </row>
    <row r="423" spans="3:17">
      <c r="G423" s="183"/>
      <c r="H423" s="183"/>
      <c r="I423" s="183"/>
      <c r="J423" s="183"/>
      <c r="K423" s="183"/>
      <c r="L423" s="183"/>
      <c r="M423" s="183"/>
      <c r="N423" s="183"/>
      <c r="O423" s="183"/>
      <c r="P423" s="183"/>
      <c r="Q423" s="183"/>
    </row>
    <row r="424" spans="3:17">
      <c r="G424" s="183"/>
      <c r="H424" s="183"/>
      <c r="I424" s="183"/>
      <c r="J424" s="183"/>
      <c r="K424" s="183"/>
      <c r="L424" s="183"/>
      <c r="M424" s="183"/>
      <c r="N424" s="183"/>
      <c r="O424" s="183"/>
      <c r="P424" s="183"/>
      <c r="Q424" s="183"/>
    </row>
    <row r="425" spans="3:17">
      <c r="G425" s="183"/>
      <c r="H425" s="183"/>
      <c r="I425" s="183"/>
      <c r="J425" s="183"/>
      <c r="K425" s="183"/>
      <c r="L425" s="183"/>
      <c r="M425" s="183"/>
      <c r="N425" s="183"/>
      <c r="O425" s="183"/>
      <c r="P425" s="183"/>
      <c r="Q425" s="183"/>
    </row>
    <row r="426" spans="3:17">
      <c r="G426" s="183"/>
      <c r="H426" s="183"/>
      <c r="I426" s="183"/>
      <c r="J426" s="183"/>
      <c r="K426" s="183"/>
      <c r="L426" s="183"/>
      <c r="M426" s="183"/>
      <c r="N426" s="183"/>
      <c r="O426" s="183"/>
      <c r="P426" s="183"/>
      <c r="Q426" s="183"/>
    </row>
    <row r="427" spans="3:17">
      <c r="G427" s="183"/>
      <c r="H427" s="183"/>
      <c r="I427" s="183"/>
      <c r="J427" s="183"/>
      <c r="K427" s="183"/>
      <c r="L427" s="183"/>
      <c r="M427" s="183"/>
      <c r="N427" s="183"/>
      <c r="O427" s="183"/>
      <c r="P427" s="183"/>
      <c r="Q427" s="183"/>
    </row>
    <row r="428" spans="3:17">
      <c r="G428" s="183"/>
      <c r="H428" s="183"/>
      <c r="I428" s="183"/>
      <c r="J428" s="183"/>
      <c r="K428" s="183"/>
      <c r="L428" s="183"/>
      <c r="M428" s="183"/>
      <c r="N428" s="183"/>
      <c r="O428" s="183"/>
      <c r="P428" s="183"/>
      <c r="Q428" s="183"/>
    </row>
    <row r="429" spans="3:17">
      <c r="G429" s="183"/>
      <c r="H429" s="183"/>
      <c r="I429" s="183"/>
      <c r="J429" s="183"/>
      <c r="K429" s="183"/>
      <c r="L429" s="183"/>
      <c r="M429" s="183"/>
      <c r="N429" s="183"/>
      <c r="O429" s="183"/>
      <c r="P429" s="183"/>
      <c r="Q429" s="183"/>
    </row>
    <row r="430" spans="3:17">
      <c r="G430" s="183"/>
      <c r="H430" s="183"/>
      <c r="I430" s="183"/>
      <c r="J430" s="183"/>
      <c r="K430" s="183"/>
      <c r="L430" s="183"/>
      <c r="M430" s="183"/>
      <c r="N430" s="183"/>
      <c r="O430" s="183"/>
      <c r="P430" s="183"/>
      <c r="Q430" s="183"/>
    </row>
    <row r="431" spans="3:17">
      <c r="G431" s="183"/>
      <c r="H431" s="183"/>
      <c r="I431" s="183"/>
      <c r="J431" s="183"/>
      <c r="K431" s="183"/>
      <c r="L431" s="183"/>
      <c r="M431" s="183"/>
      <c r="N431" s="183"/>
      <c r="O431" s="183"/>
      <c r="P431" s="183"/>
      <c r="Q431" s="183"/>
    </row>
    <row r="432" spans="3:17">
      <c r="G432" s="183"/>
      <c r="H432" s="183"/>
      <c r="I432" s="183"/>
      <c r="J432" s="183"/>
      <c r="K432" s="183"/>
      <c r="L432" s="183"/>
      <c r="M432" s="183"/>
      <c r="N432" s="183"/>
      <c r="O432" s="183"/>
      <c r="P432" s="183"/>
      <c r="Q432" s="183"/>
    </row>
    <row r="433" spans="7:17">
      <c r="G433" s="183"/>
      <c r="H433" s="183"/>
      <c r="I433" s="183"/>
      <c r="J433" s="183"/>
      <c r="K433" s="183"/>
      <c r="L433" s="183"/>
      <c r="M433" s="183"/>
      <c r="N433" s="183"/>
      <c r="O433" s="183"/>
      <c r="P433" s="183"/>
      <c r="Q433" s="183"/>
    </row>
    <row r="434" spans="7:17">
      <c r="G434" s="183"/>
      <c r="H434" s="183"/>
      <c r="I434" s="183"/>
      <c r="J434" s="183"/>
      <c r="K434" s="183"/>
      <c r="L434" s="183"/>
      <c r="M434" s="183"/>
      <c r="N434" s="183"/>
      <c r="O434" s="183"/>
      <c r="P434" s="183"/>
      <c r="Q434" s="183"/>
    </row>
    <row r="435" spans="7:17">
      <c r="G435" s="183"/>
      <c r="H435" s="183"/>
      <c r="I435" s="183"/>
      <c r="J435" s="183"/>
      <c r="K435" s="183"/>
      <c r="L435" s="183"/>
      <c r="M435" s="183"/>
      <c r="N435" s="183"/>
      <c r="O435" s="183"/>
      <c r="P435" s="183"/>
      <c r="Q435" s="183"/>
    </row>
    <row r="436" spans="7:17">
      <c r="G436" s="183"/>
      <c r="H436" s="183"/>
      <c r="I436" s="183"/>
      <c r="J436" s="183"/>
      <c r="K436" s="183"/>
      <c r="L436" s="183"/>
      <c r="M436" s="183"/>
      <c r="N436" s="183"/>
      <c r="O436" s="183"/>
      <c r="P436" s="183"/>
      <c r="Q436" s="183"/>
    </row>
    <row r="437" spans="7:17">
      <c r="G437" s="183"/>
      <c r="H437" s="183"/>
      <c r="I437" s="183"/>
      <c r="J437" s="183"/>
      <c r="K437" s="183"/>
      <c r="L437" s="183"/>
      <c r="M437" s="183"/>
      <c r="N437" s="183"/>
      <c r="O437" s="183"/>
      <c r="P437" s="183"/>
      <c r="Q437" s="183"/>
    </row>
    <row r="438" spans="7:17">
      <c r="G438" s="183"/>
      <c r="H438" s="183"/>
      <c r="I438" s="183"/>
      <c r="J438" s="183"/>
      <c r="K438" s="183"/>
      <c r="L438" s="183"/>
      <c r="M438" s="183"/>
      <c r="N438" s="183"/>
      <c r="O438" s="183"/>
      <c r="P438" s="183"/>
      <c r="Q438" s="183"/>
    </row>
    <row r="439" spans="7:17">
      <c r="G439" s="183"/>
      <c r="H439" s="183"/>
      <c r="I439" s="183"/>
      <c r="J439" s="183"/>
      <c r="K439" s="183"/>
      <c r="L439" s="183"/>
      <c r="M439" s="183"/>
      <c r="N439" s="183"/>
      <c r="O439" s="183"/>
      <c r="P439" s="183"/>
      <c r="Q439" s="183"/>
    </row>
    <row r="440" spans="7:17" ht="16.5">
      <c r="G440" s="387"/>
      <c r="H440" s="387"/>
      <c r="I440" s="387"/>
      <c r="J440" s="387"/>
      <c r="K440" s="387"/>
      <c r="L440" s="387"/>
      <c r="M440" s="387"/>
      <c r="N440" s="387"/>
      <c r="O440" s="387"/>
      <c r="P440" s="387"/>
      <c r="Q440" s="387"/>
    </row>
    <row r="441" spans="7:17" ht="16.5">
      <c r="G441" s="387"/>
      <c r="H441" s="387"/>
      <c r="I441" s="387"/>
      <c r="J441" s="387"/>
      <c r="K441" s="387"/>
      <c r="L441" s="387"/>
      <c r="M441" s="387"/>
      <c r="N441" s="387"/>
      <c r="O441" s="387"/>
      <c r="P441" s="387"/>
      <c r="Q441" s="387"/>
    </row>
    <row r="442" spans="7:17" ht="16.5">
      <c r="G442" s="387"/>
      <c r="H442" s="387"/>
      <c r="I442" s="387"/>
      <c r="J442" s="387"/>
      <c r="K442" s="387"/>
      <c r="L442" s="387"/>
      <c r="M442" s="387"/>
      <c r="N442" s="387"/>
      <c r="O442" s="387"/>
      <c r="P442" s="387"/>
      <c r="Q442" s="387"/>
    </row>
    <row r="443" spans="7:17" ht="16.5">
      <c r="G443" s="387"/>
      <c r="H443" s="387"/>
      <c r="I443" s="387"/>
      <c r="J443" s="387"/>
      <c r="K443" s="387"/>
      <c r="L443" s="387"/>
      <c r="M443" s="387"/>
      <c r="N443" s="387"/>
      <c r="O443" s="387"/>
      <c r="P443" s="387"/>
      <c r="Q443" s="387"/>
    </row>
    <row r="444" spans="7:17" ht="16.5">
      <c r="G444" s="387"/>
      <c r="H444" s="387"/>
      <c r="I444" s="387"/>
      <c r="J444" s="387"/>
      <c r="K444" s="387"/>
      <c r="L444" s="387"/>
      <c r="M444" s="387"/>
      <c r="N444" s="387"/>
      <c r="O444" s="387"/>
      <c r="P444" s="387"/>
      <c r="Q444" s="387"/>
    </row>
    <row r="445" spans="7:17" ht="16.5">
      <c r="G445" s="387"/>
      <c r="H445" s="387"/>
      <c r="I445" s="387"/>
      <c r="J445" s="387"/>
      <c r="K445" s="387"/>
      <c r="L445" s="387"/>
      <c r="M445" s="387"/>
      <c r="N445" s="387"/>
      <c r="O445" s="387"/>
      <c r="P445" s="387"/>
      <c r="Q445" s="387"/>
    </row>
    <row r="446" spans="7:17" ht="16.5">
      <c r="G446" s="387"/>
      <c r="H446" s="387"/>
      <c r="I446" s="387"/>
      <c r="J446" s="387"/>
      <c r="K446" s="387"/>
      <c r="L446" s="387"/>
      <c r="M446" s="387"/>
      <c r="N446" s="387"/>
      <c r="O446" s="387"/>
      <c r="P446" s="387"/>
      <c r="Q446" s="387"/>
    </row>
    <row r="447" spans="7:17" ht="16.5">
      <c r="G447" s="387"/>
      <c r="H447" s="387"/>
      <c r="I447" s="387"/>
      <c r="J447" s="387"/>
      <c r="K447" s="387"/>
      <c r="L447" s="387"/>
      <c r="M447" s="387"/>
      <c r="N447" s="387"/>
      <c r="O447" s="387"/>
      <c r="P447" s="387"/>
      <c r="Q447" s="387"/>
    </row>
    <row r="448" spans="7:17" ht="16.5">
      <c r="G448" s="387"/>
      <c r="H448" s="387"/>
      <c r="I448" s="387"/>
      <c r="J448" s="387"/>
      <c r="K448" s="387"/>
      <c r="L448" s="387"/>
      <c r="M448" s="387"/>
      <c r="N448" s="387"/>
      <c r="O448" s="387"/>
      <c r="P448" s="387"/>
      <c r="Q448" s="387"/>
    </row>
    <row r="449" spans="7:17" ht="16.5">
      <c r="G449" s="387"/>
      <c r="H449" s="387"/>
      <c r="I449" s="387"/>
      <c r="J449" s="387"/>
      <c r="K449" s="387"/>
      <c r="L449" s="387"/>
      <c r="M449" s="387"/>
      <c r="N449" s="387"/>
      <c r="O449" s="387"/>
      <c r="P449" s="387"/>
      <c r="Q449" s="387"/>
    </row>
    <row r="450" spans="7:17" ht="16.5">
      <c r="G450" s="387"/>
      <c r="H450" s="387"/>
      <c r="I450" s="387"/>
      <c r="J450" s="387"/>
      <c r="K450" s="387"/>
      <c r="L450" s="387"/>
      <c r="M450" s="387"/>
      <c r="N450" s="387"/>
      <c r="O450" s="387"/>
      <c r="P450" s="387"/>
      <c r="Q450" s="387"/>
    </row>
    <row r="451" spans="7:17" ht="16.5">
      <c r="G451" s="387"/>
      <c r="H451" s="387"/>
      <c r="I451" s="387"/>
      <c r="J451" s="387"/>
      <c r="K451" s="387"/>
      <c r="L451" s="387"/>
      <c r="M451" s="387"/>
      <c r="N451" s="387"/>
      <c r="O451" s="387"/>
      <c r="P451" s="387"/>
      <c r="Q451" s="387"/>
    </row>
    <row r="452" spans="7:17" ht="16.5">
      <c r="G452" s="387"/>
      <c r="H452" s="387"/>
      <c r="I452" s="387"/>
      <c r="J452" s="387"/>
      <c r="K452" s="387"/>
      <c r="L452" s="387"/>
      <c r="M452" s="387"/>
      <c r="N452" s="387"/>
      <c r="O452" s="387"/>
      <c r="P452" s="387"/>
      <c r="Q452" s="387"/>
    </row>
    <row r="453" spans="7:17" ht="16.5">
      <c r="G453" s="387"/>
      <c r="H453" s="387"/>
      <c r="I453" s="387"/>
      <c r="J453" s="387"/>
      <c r="K453" s="387"/>
      <c r="L453" s="387"/>
      <c r="M453" s="387"/>
      <c r="N453" s="387"/>
      <c r="O453" s="387"/>
      <c r="P453" s="387"/>
      <c r="Q453" s="387"/>
    </row>
    <row r="454" spans="7:17" ht="16.5">
      <c r="G454" s="387"/>
      <c r="H454" s="387"/>
      <c r="I454" s="387"/>
      <c r="J454" s="387"/>
      <c r="K454" s="387"/>
      <c r="L454" s="387"/>
      <c r="M454" s="387"/>
      <c r="N454" s="387"/>
      <c r="O454" s="387"/>
      <c r="P454" s="387"/>
      <c r="Q454" s="387"/>
    </row>
    <row r="455" spans="7:17" ht="16.5">
      <c r="G455" s="387"/>
      <c r="H455" s="387"/>
      <c r="I455" s="387"/>
      <c r="J455" s="387"/>
      <c r="K455" s="387"/>
      <c r="L455" s="387"/>
      <c r="M455" s="387"/>
      <c r="N455" s="387"/>
      <c r="O455" s="387"/>
      <c r="P455" s="387"/>
      <c r="Q455" s="387"/>
    </row>
    <row r="456" spans="7:17" ht="16.5">
      <c r="G456" s="387"/>
      <c r="H456" s="387"/>
      <c r="I456" s="387"/>
      <c r="J456" s="387"/>
      <c r="K456" s="387"/>
      <c r="L456" s="387"/>
      <c r="M456" s="387"/>
      <c r="N456" s="387"/>
      <c r="O456" s="387"/>
      <c r="P456" s="387"/>
      <c r="Q456" s="387"/>
    </row>
    <row r="457" spans="7:17" ht="16.5">
      <c r="G457" s="387"/>
      <c r="H457" s="387"/>
      <c r="I457" s="387"/>
      <c r="J457" s="387"/>
      <c r="K457" s="387"/>
      <c r="L457" s="387"/>
      <c r="M457" s="387"/>
      <c r="N457" s="387"/>
      <c r="O457" s="387"/>
      <c r="P457" s="387"/>
      <c r="Q457" s="387"/>
    </row>
    <row r="458" spans="7:17" ht="16.5">
      <c r="G458" s="387"/>
      <c r="H458" s="387"/>
      <c r="I458" s="387"/>
      <c r="J458" s="387"/>
      <c r="K458" s="387"/>
      <c r="L458" s="387"/>
      <c r="M458" s="387"/>
      <c r="N458" s="387"/>
      <c r="O458" s="387"/>
      <c r="P458" s="387"/>
      <c r="Q458" s="387"/>
    </row>
    <row r="459" spans="7:17" ht="16.5">
      <c r="G459" s="387"/>
      <c r="H459" s="387"/>
      <c r="I459" s="387"/>
      <c r="J459" s="387"/>
      <c r="K459" s="387"/>
      <c r="L459" s="387"/>
      <c r="M459" s="387"/>
      <c r="N459" s="387"/>
      <c r="O459" s="387"/>
      <c r="P459" s="387"/>
      <c r="Q459" s="387"/>
    </row>
    <row r="460" spans="7:17" ht="16.5">
      <c r="G460" s="387"/>
      <c r="H460" s="387"/>
      <c r="I460" s="387"/>
      <c r="J460" s="387"/>
      <c r="K460" s="387"/>
      <c r="L460" s="387"/>
      <c r="M460" s="387"/>
      <c r="N460" s="387"/>
      <c r="O460" s="387"/>
      <c r="P460" s="387"/>
      <c r="Q460" s="387"/>
    </row>
    <row r="461" spans="7:17" ht="16.5">
      <c r="G461" s="387"/>
      <c r="H461" s="387"/>
      <c r="I461" s="387"/>
      <c r="J461" s="387"/>
      <c r="K461" s="387"/>
      <c r="L461" s="387"/>
      <c r="M461" s="387"/>
      <c r="N461" s="387"/>
      <c r="O461" s="387"/>
      <c r="P461" s="387"/>
      <c r="Q461" s="387"/>
    </row>
    <row r="462" spans="7:17" ht="16.5">
      <c r="G462" s="387"/>
      <c r="H462" s="387"/>
      <c r="I462" s="387"/>
      <c r="J462" s="387"/>
      <c r="K462" s="387"/>
      <c r="L462" s="387"/>
      <c r="M462" s="387"/>
      <c r="N462" s="387"/>
      <c r="O462" s="387"/>
      <c r="P462" s="387"/>
      <c r="Q462" s="387"/>
    </row>
    <row r="463" spans="7:17" ht="16.5">
      <c r="G463" s="387"/>
      <c r="H463" s="387"/>
      <c r="I463" s="387"/>
      <c r="J463" s="387"/>
      <c r="K463" s="387"/>
      <c r="L463" s="387"/>
      <c r="M463" s="387"/>
      <c r="N463" s="387"/>
      <c r="O463" s="387"/>
      <c r="P463" s="387"/>
      <c r="Q463" s="387"/>
    </row>
    <row r="464" spans="7:17" ht="16.5">
      <c r="G464" s="387"/>
      <c r="H464" s="387"/>
      <c r="I464" s="387"/>
      <c r="J464" s="387"/>
      <c r="K464" s="387"/>
      <c r="L464" s="387"/>
      <c r="M464" s="387"/>
      <c r="N464" s="387"/>
      <c r="O464" s="387"/>
      <c r="P464" s="387"/>
      <c r="Q464" s="387"/>
    </row>
    <row r="465" spans="7:17" ht="16.5">
      <c r="G465" s="387"/>
      <c r="H465" s="387"/>
      <c r="I465" s="387"/>
      <c r="J465" s="387"/>
      <c r="K465" s="387"/>
      <c r="L465" s="387"/>
      <c r="M465" s="387"/>
      <c r="N465" s="387"/>
      <c r="O465" s="387"/>
      <c r="P465" s="387"/>
      <c r="Q465" s="387"/>
    </row>
    <row r="466" spans="7:17" ht="16.5">
      <c r="G466" s="387"/>
      <c r="H466" s="387"/>
      <c r="I466" s="387"/>
      <c r="J466" s="387"/>
      <c r="K466" s="387"/>
      <c r="L466" s="387"/>
      <c r="M466" s="387"/>
      <c r="N466" s="387"/>
      <c r="O466" s="387"/>
      <c r="P466" s="387"/>
      <c r="Q466" s="387"/>
    </row>
    <row r="467" spans="7:17" ht="16.5">
      <c r="G467" s="387"/>
      <c r="H467" s="387"/>
      <c r="I467" s="387"/>
      <c r="J467" s="387"/>
      <c r="K467" s="387"/>
      <c r="L467" s="387"/>
      <c r="M467" s="387"/>
      <c r="N467" s="387"/>
      <c r="O467" s="387"/>
      <c r="P467" s="387"/>
      <c r="Q467" s="387"/>
    </row>
    <row r="468" spans="7:17" ht="16.5">
      <c r="G468" s="387"/>
      <c r="H468" s="387"/>
      <c r="I468" s="387"/>
      <c r="J468" s="387"/>
      <c r="K468" s="387"/>
      <c r="L468" s="387"/>
      <c r="M468" s="387"/>
      <c r="N468" s="387"/>
      <c r="O468" s="387"/>
      <c r="P468" s="387"/>
      <c r="Q468" s="387"/>
    </row>
    <row r="469" spans="7:17" ht="16.5">
      <c r="G469" s="387"/>
      <c r="H469" s="387"/>
      <c r="I469" s="387"/>
      <c r="J469" s="387"/>
      <c r="K469" s="387"/>
      <c r="L469" s="387"/>
      <c r="M469" s="387"/>
      <c r="N469" s="387"/>
      <c r="O469" s="387"/>
      <c r="P469" s="387"/>
      <c r="Q469" s="387"/>
    </row>
    <row r="470" spans="7:17" ht="16.5">
      <c r="G470" s="387"/>
      <c r="H470" s="387"/>
      <c r="I470" s="387"/>
      <c r="J470" s="387"/>
      <c r="K470" s="387"/>
      <c r="L470" s="387"/>
      <c r="M470" s="387"/>
      <c r="N470" s="387"/>
      <c r="O470" s="387"/>
      <c r="P470" s="387"/>
      <c r="Q470" s="387"/>
    </row>
    <row r="471" spans="7:17" ht="16.5">
      <c r="G471" s="387"/>
      <c r="H471" s="387"/>
      <c r="I471" s="387"/>
      <c r="J471" s="387"/>
      <c r="K471" s="387"/>
      <c r="L471" s="387"/>
      <c r="M471" s="387"/>
      <c r="N471" s="387"/>
      <c r="O471" s="387"/>
      <c r="P471" s="387"/>
      <c r="Q471" s="387"/>
    </row>
    <row r="472" spans="7:17" ht="16.5">
      <c r="G472" s="387"/>
      <c r="H472" s="387"/>
      <c r="I472" s="387"/>
      <c r="J472" s="387"/>
      <c r="K472" s="387"/>
      <c r="L472" s="387"/>
      <c r="M472" s="387"/>
      <c r="N472" s="387"/>
      <c r="O472" s="387"/>
      <c r="P472" s="387"/>
      <c r="Q472" s="387"/>
    </row>
    <row r="473" spans="7:17" ht="16.5">
      <c r="G473" s="387"/>
      <c r="H473" s="387"/>
      <c r="I473" s="387"/>
      <c r="J473" s="387"/>
      <c r="K473" s="387"/>
      <c r="L473" s="387"/>
      <c r="M473" s="387"/>
      <c r="N473" s="387"/>
      <c r="O473" s="387"/>
      <c r="P473" s="387"/>
      <c r="Q473" s="387"/>
    </row>
    <row r="474" spans="7:17" ht="16.5">
      <c r="G474" s="387"/>
      <c r="H474" s="387"/>
      <c r="I474" s="387"/>
      <c r="J474" s="387"/>
      <c r="K474" s="387"/>
      <c r="L474" s="387"/>
      <c r="M474" s="387"/>
      <c r="N474" s="387"/>
      <c r="O474" s="387"/>
      <c r="P474" s="387"/>
      <c r="Q474" s="387"/>
    </row>
    <row r="475" spans="7:17" ht="16.5">
      <c r="G475" s="387"/>
      <c r="H475" s="387"/>
      <c r="I475" s="387"/>
      <c r="J475" s="387"/>
      <c r="K475" s="387"/>
      <c r="L475" s="387"/>
      <c r="M475" s="387"/>
      <c r="N475" s="387"/>
      <c r="O475" s="387"/>
      <c r="P475" s="387"/>
      <c r="Q475" s="387"/>
    </row>
    <row r="476" spans="7:17" ht="16.5">
      <c r="G476" s="387"/>
      <c r="H476" s="387"/>
      <c r="I476" s="387"/>
      <c r="J476" s="387"/>
      <c r="K476" s="387"/>
      <c r="L476" s="387"/>
      <c r="M476" s="387"/>
      <c r="N476" s="387"/>
      <c r="O476" s="387"/>
      <c r="P476" s="387"/>
      <c r="Q476" s="387"/>
    </row>
    <row r="477" spans="7:17" ht="16.5">
      <c r="G477" s="387"/>
      <c r="H477" s="387"/>
      <c r="I477" s="387"/>
      <c r="J477" s="387"/>
      <c r="K477" s="387"/>
      <c r="L477" s="387"/>
      <c r="M477" s="387"/>
      <c r="N477" s="387"/>
      <c r="O477" s="387"/>
      <c r="P477" s="387"/>
      <c r="Q477" s="387"/>
    </row>
    <row r="478" spans="7:17" ht="16.5">
      <c r="G478" s="387"/>
      <c r="H478" s="387"/>
      <c r="I478" s="387"/>
      <c r="J478" s="387"/>
      <c r="K478" s="387"/>
      <c r="L478" s="387"/>
      <c r="M478" s="387"/>
      <c r="N478" s="387"/>
      <c r="O478" s="387"/>
      <c r="P478" s="387"/>
      <c r="Q478" s="387"/>
    </row>
    <row r="479" spans="7:17" ht="16.5">
      <c r="G479" s="387"/>
      <c r="H479" s="387"/>
      <c r="I479" s="387"/>
      <c r="J479" s="387"/>
      <c r="K479" s="387"/>
      <c r="L479" s="387"/>
      <c r="M479" s="387"/>
      <c r="N479" s="387"/>
      <c r="O479" s="387"/>
      <c r="P479" s="387"/>
      <c r="Q479" s="387"/>
    </row>
    <row r="480" spans="7:17" ht="16.5">
      <c r="G480" s="387"/>
      <c r="H480" s="387"/>
      <c r="I480" s="387"/>
      <c r="J480" s="387"/>
      <c r="K480" s="387"/>
      <c r="L480" s="387"/>
      <c r="M480" s="387"/>
      <c r="N480" s="387"/>
      <c r="O480" s="387"/>
      <c r="P480" s="387"/>
      <c r="Q480" s="387"/>
    </row>
    <row r="481" spans="7:17" ht="16.5">
      <c r="G481" s="387"/>
      <c r="H481" s="387"/>
      <c r="I481" s="387"/>
      <c r="J481" s="387"/>
      <c r="K481" s="387"/>
      <c r="L481" s="387"/>
      <c r="M481" s="387"/>
      <c r="N481" s="387"/>
      <c r="O481" s="387"/>
      <c r="P481" s="387"/>
      <c r="Q481" s="387"/>
    </row>
    <row r="482" spans="7:17" ht="16.5">
      <c r="G482" s="387"/>
      <c r="H482" s="387"/>
      <c r="I482" s="387"/>
      <c r="J482" s="387"/>
      <c r="K482" s="387"/>
      <c r="L482" s="387"/>
      <c r="M482" s="387"/>
      <c r="N482" s="387"/>
      <c r="O482" s="387"/>
      <c r="P482" s="387"/>
      <c r="Q482" s="387"/>
    </row>
    <row r="483" spans="7:17" ht="16.5">
      <c r="G483" s="387"/>
      <c r="H483" s="387"/>
      <c r="I483" s="387"/>
      <c r="J483" s="387"/>
      <c r="K483" s="387"/>
      <c r="L483" s="387"/>
      <c r="M483" s="387"/>
      <c r="N483" s="387"/>
      <c r="O483" s="387"/>
      <c r="P483" s="387"/>
      <c r="Q483" s="387"/>
    </row>
    <row r="484" spans="7:17" ht="16.5">
      <c r="G484" s="387"/>
      <c r="H484" s="387"/>
      <c r="I484" s="387"/>
      <c r="J484" s="387"/>
      <c r="K484" s="387"/>
      <c r="L484" s="387"/>
      <c r="M484" s="387"/>
      <c r="N484" s="387"/>
      <c r="O484" s="387"/>
      <c r="P484" s="387"/>
      <c r="Q484" s="387"/>
    </row>
    <row r="485" spans="7:17" ht="16.5">
      <c r="G485" s="387"/>
      <c r="H485" s="387"/>
      <c r="I485" s="387"/>
      <c r="J485" s="387"/>
      <c r="K485" s="387"/>
      <c r="L485" s="387"/>
      <c r="M485" s="387"/>
      <c r="N485" s="387"/>
      <c r="O485" s="387"/>
      <c r="P485" s="387"/>
      <c r="Q485" s="387"/>
    </row>
    <row r="486" spans="7:17" ht="16.5">
      <c r="G486" s="387"/>
      <c r="H486" s="387"/>
      <c r="I486" s="387"/>
      <c r="J486" s="387"/>
      <c r="K486" s="387"/>
      <c r="L486" s="387"/>
      <c r="M486" s="387"/>
      <c r="N486" s="387"/>
      <c r="O486" s="387"/>
      <c r="P486" s="387"/>
      <c r="Q486" s="387"/>
    </row>
    <row r="487" spans="7:17" ht="16.5">
      <c r="G487" s="387"/>
      <c r="H487" s="387"/>
      <c r="I487" s="387"/>
      <c r="J487" s="387"/>
      <c r="K487" s="387"/>
      <c r="L487" s="387"/>
      <c r="M487" s="387"/>
      <c r="N487" s="387"/>
      <c r="O487" s="387"/>
      <c r="P487" s="387"/>
      <c r="Q487" s="387"/>
    </row>
    <row r="488" spans="7:17" ht="16.5">
      <c r="G488" s="387"/>
      <c r="H488" s="387"/>
      <c r="I488" s="387"/>
      <c r="J488" s="387"/>
      <c r="K488" s="387"/>
      <c r="L488" s="387"/>
      <c r="M488" s="387"/>
      <c r="N488" s="387"/>
      <c r="O488" s="387"/>
      <c r="P488" s="387"/>
      <c r="Q488" s="387"/>
    </row>
    <row r="489" spans="7:17" ht="16.5">
      <c r="G489" s="387"/>
      <c r="H489" s="387"/>
      <c r="I489" s="387"/>
      <c r="J489" s="387"/>
      <c r="K489" s="387"/>
      <c r="L489" s="387"/>
      <c r="M489" s="387"/>
      <c r="N489" s="387"/>
      <c r="O489" s="387"/>
      <c r="P489" s="387"/>
      <c r="Q489" s="387"/>
    </row>
    <row r="490" spans="7:17" ht="16.5">
      <c r="G490" s="387"/>
      <c r="H490" s="387"/>
      <c r="I490" s="387"/>
      <c r="J490" s="387"/>
      <c r="K490" s="387"/>
      <c r="L490" s="387"/>
      <c r="M490" s="387"/>
      <c r="N490" s="387"/>
      <c r="O490" s="387"/>
      <c r="P490" s="387"/>
      <c r="Q490" s="387"/>
    </row>
    <row r="491" spans="7:17" ht="16.5">
      <c r="G491" s="387"/>
      <c r="H491" s="387"/>
      <c r="I491" s="387"/>
      <c r="J491" s="387"/>
      <c r="K491" s="387"/>
      <c r="L491" s="387"/>
      <c r="M491" s="387"/>
      <c r="N491" s="387"/>
      <c r="O491" s="387"/>
      <c r="P491" s="387"/>
      <c r="Q491" s="387"/>
    </row>
    <row r="492" spans="7:17" ht="16.5">
      <c r="G492" s="387"/>
      <c r="H492" s="387"/>
      <c r="I492" s="387"/>
      <c r="J492" s="387"/>
      <c r="K492" s="387"/>
      <c r="L492" s="387"/>
      <c r="M492" s="387"/>
      <c r="N492" s="387"/>
      <c r="O492" s="387"/>
      <c r="P492" s="387"/>
      <c r="Q492" s="387"/>
    </row>
    <row r="493" spans="7:17" ht="16.5">
      <c r="G493" s="387"/>
      <c r="H493" s="387"/>
      <c r="I493" s="387"/>
      <c r="J493" s="387"/>
      <c r="K493" s="387"/>
      <c r="L493" s="387"/>
      <c r="M493" s="387"/>
      <c r="N493" s="387"/>
      <c r="O493" s="387"/>
      <c r="P493" s="387"/>
      <c r="Q493" s="387"/>
    </row>
    <row r="494" spans="7:17" ht="16.5">
      <c r="G494" s="387"/>
      <c r="H494" s="387"/>
      <c r="I494" s="387"/>
      <c r="J494" s="387"/>
      <c r="K494" s="387"/>
      <c r="L494" s="387"/>
      <c r="M494" s="387"/>
      <c r="N494" s="387"/>
      <c r="O494" s="387"/>
      <c r="P494" s="387"/>
      <c r="Q494" s="387"/>
    </row>
    <row r="495" spans="7:17" ht="16.5">
      <c r="G495" s="387"/>
      <c r="H495" s="387"/>
      <c r="I495" s="387"/>
      <c r="J495" s="387"/>
      <c r="K495" s="387"/>
      <c r="L495" s="387"/>
      <c r="M495" s="387"/>
      <c r="N495" s="387"/>
      <c r="O495" s="387"/>
      <c r="P495" s="387"/>
      <c r="Q495" s="387"/>
    </row>
    <row r="496" spans="7:17" ht="16.5">
      <c r="G496" s="387"/>
      <c r="H496" s="387"/>
      <c r="I496" s="387"/>
      <c r="J496" s="387"/>
      <c r="K496" s="387"/>
      <c r="L496" s="387"/>
      <c r="M496" s="387"/>
      <c r="N496" s="387"/>
      <c r="O496" s="387"/>
      <c r="P496" s="387"/>
      <c r="Q496" s="387"/>
    </row>
  </sheetData>
  <mergeCells count="94">
    <mergeCell ref="A4:F4"/>
    <mergeCell ref="A280:F280"/>
    <mergeCell ref="A302:F302"/>
    <mergeCell ref="A313:F313"/>
    <mergeCell ref="A372:F372"/>
    <mergeCell ref="A406:F406"/>
    <mergeCell ref="A323:F323"/>
    <mergeCell ref="A329:F329"/>
    <mergeCell ref="A335:F335"/>
    <mergeCell ref="A341:F341"/>
    <mergeCell ref="A354:F354"/>
    <mergeCell ref="J280:Q280"/>
    <mergeCell ref="J281:Q281"/>
    <mergeCell ref="J282:Q282"/>
    <mergeCell ref="J283:Q283"/>
    <mergeCell ref="A348:F348"/>
    <mergeCell ref="J288:Q288"/>
    <mergeCell ref="J289:Q289"/>
    <mergeCell ref="J290:Q290"/>
    <mergeCell ref="J291:Q291"/>
    <mergeCell ref="J284:Q284"/>
    <mergeCell ref="J285:Q285"/>
    <mergeCell ref="J286:Q286"/>
    <mergeCell ref="J287:Q287"/>
    <mergeCell ref="J296:Q296"/>
    <mergeCell ref="J297:Q297"/>
    <mergeCell ref="J298:Q298"/>
    <mergeCell ref="J302:Q302"/>
    <mergeCell ref="J292:Q292"/>
    <mergeCell ref="J293:Q293"/>
    <mergeCell ref="J294:Q294"/>
    <mergeCell ref="J295:Q295"/>
    <mergeCell ref="J308:Q308"/>
    <mergeCell ref="J309:Q309"/>
    <mergeCell ref="J306:Q306"/>
    <mergeCell ref="J313:Q313"/>
    <mergeCell ref="J303:Q303"/>
    <mergeCell ref="J304:Q304"/>
    <mergeCell ref="J305:Q305"/>
    <mergeCell ref="J307:Q307"/>
    <mergeCell ref="J318:Q318"/>
    <mergeCell ref="J319:Q319"/>
    <mergeCell ref="J323:Q323"/>
    <mergeCell ref="J324:Q324"/>
    <mergeCell ref="J314:Q314"/>
    <mergeCell ref="J315:Q315"/>
    <mergeCell ref="J316:Q316"/>
    <mergeCell ref="J317:Q317"/>
    <mergeCell ref="J337:Q337"/>
    <mergeCell ref="I395:Q395"/>
    <mergeCell ref="I396:Q396"/>
    <mergeCell ref="J325:Q325"/>
    <mergeCell ref="J329:Q329"/>
    <mergeCell ref="J331:Q331"/>
    <mergeCell ref="J335:Q335"/>
    <mergeCell ref="L341:Q341"/>
    <mergeCell ref="L343:Q343"/>
    <mergeCell ref="L344:Q344"/>
    <mergeCell ref="J348:Q348"/>
    <mergeCell ref="I359:Q359"/>
    <mergeCell ref="I360:Q360"/>
    <mergeCell ref="J350:Q350"/>
    <mergeCell ref="I356:Q356"/>
    <mergeCell ref="I354:Q354"/>
    <mergeCell ref="I358:Q358"/>
    <mergeCell ref="I365:Q365"/>
    <mergeCell ref="I366:Q366"/>
    <mergeCell ref="I367:Q367"/>
    <mergeCell ref="I372:Q372"/>
    <mergeCell ref="I361:Q361"/>
    <mergeCell ref="I362:Q362"/>
    <mergeCell ref="I363:Q363"/>
    <mergeCell ref="I364:Q364"/>
    <mergeCell ref="I378:Q378"/>
    <mergeCell ref="I379:Q379"/>
    <mergeCell ref="I380:Q380"/>
    <mergeCell ref="I381:Q381"/>
    <mergeCell ref="I377:Q377"/>
    <mergeCell ref="I374:Q374"/>
    <mergeCell ref="I376:Q376"/>
    <mergeCell ref="I408:Q408"/>
    <mergeCell ref="A388:F388"/>
    <mergeCell ref="I388:Q388"/>
    <mergeCell ref="I390:Q390"/>
    <mergeCell ref="I392:Q392"/>
    <mergeCell ref="I393:Q393"/>
    <mergeCell ref="I394:Q394"/>
    <mergeCell ref="I401:Q401"/>
    <mergeCell ref="I397:Q397"/>
    <mergeCell ref="I398:Q398"/>
    <mergeCell ref="I399:Q399"/>
    <mergeCell ref="I400:Q400"/>
    <mergeCell ref="I382:Q382"/>
    <mergeCell ref="I406:Q406"/>
  </mergeCells>
  <phoneticPr fontId="0" type="noConversion"/>
  <printOptions horizontalCentered="1"/>
  <pageMargins left="0.25" right="0.25" top="0.75" bottom="0.75" header="0.5" footer="0.5"/>
  <pageSetup scale="46" orientation="landscape" r:id="rId1"/>
  <headerFooter alignWithMargins="0">
    <oddHeader>&amp;C&amp;16Cost Support Matrix</oddHeader>
    <oddFooter>Page &amp;P of &amp;N</oddFooter>
  </headerFooter>
  <rowBreaks count="2" manualBreakCount="2">
    <brk id="276" max="16" man="1"/>
    <brk id="310"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3"/>
  <sheetViews>
    <sheetView zoomScaleNormal="100" zoomScaleSheetLayoutView="50" workbookViewId="0"/>
  </sheetViews>
  <sheetFormatPr defaultColWidth="9.140625" defaultRowHeight="12.75"/>
  <cols>
    <col min="1" max="1" width="8.7109375" style="627" customWidth="1"/>
    <col min="2" max="2" width="4.28515625" style="627" customWidth="1"/>
    <col min="3" max="3" width="58" style="627" customWidth="1"/>
    <col min="4" max="4" width="27.42578125" style="627" customWidth="1"/>
    <col min="5" max="5" width="14.140625" style="627" customWidth="1"/>
    <col min="6" max="6" width="41.140625" style="627" customWidth="1"/>
    <col min="7" max="7" width="18.28515625" style="627" customWidth="1"/>
    <col min="8" max="8" width="15.28515625" style="627" customWidth="1"/>
    <col min="9" max="9" width="15.85546875" style="627" customWidth="1"/>
    <col min="10" max="10" width="13.7109375" style="627" customWidth="1"/>
    <col min="11" max="11" width="11.5703125" style="627" customWidth="1"/>
    <col min="12" max="13" width="9.7109375" style="627" customWidth="1"/>
    <col min="14" max="14" width="13.28515625" style="627" bestFit="1" customWidth="1"/>
    <col min="15" max="17" width="9.7109375" style="627" customWidth="1"/>
    <col min="18" max="18" width="4.7109375" style="627" customWidth="1"/>
    <col min="19" max="19" width="4.85546875" style="627" customWidth="1"/>
    <col min="20" max="21" width="14" style="627" bestFit="1" customWidth="1"/>
    <col min="22" max="16384" width="9.140625" style="627"/>
  </cols>
  <sheetData>
    <row r="1" spans="1:33" ht="21.2" customHeight="1">
      <c r="A1" s="272"/>
      <c r="B1" s="258"/>
      <c r="D1" s="152"/>
      <c r="E1" s="153"/>
      <c r="F1" s="154"/>
      <c r="G1" s="818" t="str">
        <f>+'ATT H-2A'!A4</f>
        <v>Baltimore Gas and Electric Company</v>
      </c>
      <c r="H1" s="183"/>
      <c r="I1" s="183"/>
      <c r="J1" s="183"/>
      <c r="K1" s="183"/>
      <c r="L1" s="183"/>
      <c r="M1" s="183"/>
      <c r="N1" s="183"/>
      <c r="O1" s="183"/>
      <c r="P1" s="183"/>
      <c r="Q1" s="183"/>
    </row>
    <row r="2" spans="1:33" ht="10.5" customHeight="1">
      <c r="A2" s="419"/>
      <c r="B2" s="258"/>
      <c r="D2" s="152"/>
      <c r="E2" s="153"/>
      <c r="F2" s="154"/>
      <c r="H2" s="183"/>
      <c r="I2" s="183"/>
      <c r="J2" s="183"/>
      <c r="K2" s="183"/>
      <c r="L2" s="183"/>
      <c r="M2" s="183"/>
      <c r="N2" s="183"/>
      <c r="O2" s="183"/>
      <c r="P2" s="183"/>
      <c r="Q2" s="506"/>
    </row>
    <row r="3" spans="1:33" ht="21.2" customHeight="1">
      <c r="A3" s="419"/>
      <c r="B3" s="258"/>
      <c r="D3" s="152"/>
      <c r="E3" s="153"/>
      <c r="F3" s="154"/>
      <c r="G3" s="818" t="s">
        <v>50</v>
      </c>
      <c r="H3" s="183"/>
      <c r="I3" s="183"/>
      <c r="J3" s="183"/>
      <c r="K3" s="183"/>
      <c r="L3" s="183"/>
      <c r="M3" s="183"/>
      <c r="N3" s="183"/>
      <c r="O3" s="183"/>
      <c r="P3" s="183"/>
      <c r="Q3" s="506"/>
    </row>
    <row r="4" spans="1:33" ht="21.2" customHeight="1">
      <c r="A4" s="419"/>
      <c r="B4" s="258"/>
      <c r="D4" s="152"/>
      <c r="E4" s="153"/>
      <c r="F4" s="154"/>
      <c r="G4" s="818"/>
      <c r="H4" s="183"/>
      <c r="I4" s="183"/>
      <c r="J4" s="183"/>
      <c r="K4" s="183"/>
      <c r="L4" s="183"/>
      <c r="M4" s="183"/>
      <c r="N4" s="183"/>
      <c r="O4" s="183"/>
      <c r="P4" s="183"/>
      <c r="Q4" s="983"/>
    </row>
    <row r="5" spans="1:33" ht="21.2" customHeight="1" thickBot="1">
      <c r="A5" s="359" t="s">
        <v>620</v>
      </c>
      <c r="B5" s="258"/>
      <c r="D5" s="152"/>
      <c r="E5" s="153"/>
      <c r="F5" s="154"/>
      <c r="G5" s="183"/>
      <c r="H5" s="183"/>
      <c r="I5" s="183"/>
      <c r="J5" s="183"/>
      <c r="K5" s="183"/>
      <c r="L5" s="183"/>
      <c r="M5" s="183"/>
      <c r="N5" s="183"/>
      <c r="O5" s="183"/>
      <c r="P5" s="183"/>
      <c r="Q5" s="183"/>
    </row>
    <row r="6" spans="1:33" ht="26.45" customHeight="1">
      <c r="A6" s="1084" t="s">
        <v>10</v>
      </c>
      <c r="B6" s="1085"/>
      <c r="C6" s="1085"/>
      <c r="D6" s="1085"/>
      <c r="E6" s="1085"/>
      <c r="F6" s="1086"/>
      <c r="G6" s="391" t="s">
        <v>535</v>
      </c>
      <c r="H6" s="1013" t="s">
        <v>520</v>
      </c>
      <c r="I6" s="1013" t="s">
        <v>536</v>
      </c>
      <c r="J6" s="1087" t="s">
        <v>462</v>
      </c>
      <c r="K6" s="1089"/>
      <c r="L6" s="1089"/>
      <c r="M6" s="1089"/>
      <c r="N6" s="1089"/>
      <c r="O6" s="1089"/>
      <c r="P6" s="1089"/>
      <c r="Q6" s="1120"/>
      <c r="S6" s="823"/>
      <c r="T6" s="645"/>
      <c r="U6" s="645"/>
      <c r="V6" s="645"/>
      <c r="W6" s="645"/>
      <c r="X6" s="645"/>
      <c r="Y6" s="645"/>
      <c r="Z6" s="645"/>
      <c r="AA6" s="645"/>
      <c r="AB6" s="645"/>
      <c r="AC6" s="645"/>
      <c r="AD6" s="645"/>
      <c r="AE6" s="645"/>
      <c r="AF6" s="645"/>
      <c r="AG6" s="645"/>
    </row>
    <row r="7" spans="1:33" ht="15.75" customHeight="1">
      <c r="A7" s="289"/>
      <c r="B7" s="279" t="s">
        <v>333</v>
      </c>
      <c r="C7" s="152"/>
      <c r="D7" s="269"/>
      <c r="E7" s="234"/>
      <c r="F7" s="290"/>
      <c r="G7" s="379"/>
      <c r="H7" s="185"/>
      <c r="I7" s="185"/>
      <c r="J7" s="1092"/>
      <c r="K7" s="1081"/>
      <c r="L7" s="1081"/>
      <c r="M7" s="1081"/>
      <c r="N7" s="1081"/>
      <c r="O7" s="1081"/>
      <c r="P7" s="1081"/>
      <c r="Q7" s="1113"/>
      <c r="S7" s="645"/>
      <c r="T7" s="645"/>
      <c r="U7" s="645"/>
      <c r="V7" s="645"/>
      <c r="W7" s="645"/>
      <c r="X7" s="645"/>
      <c r="Y7" s="645"/>
      <c r="Z7" s="645"/>
      <c r="AA7" s="645"/>
      <c r="AB7" s="645"/>
      <c r="AC7" s="645"/>
      <c r="AD7" s="645"/>
      <c r="AE7" s="645"/>
      <c r="AF7" s="645"/>
      <c r="AG7" s="645"/>
    </row>
    <row r="8" spans="1:33" ht="15.75" hidden="1" customHeight="1">
      <c r="A8" s="296">
        <f>'Exh F - AA-BL Items'!A17</f>
        <v>7</v>
      </c>
      <c r="B8" s="269"/>
      <c r="C8" s="233" t="str">
        <f>'Exh F - AA-BL Items'!C17</f>
        <v>Common Plant In Service - Electric</v>
      </c>
      <c r="D8" s="152"/>
      <c r="E8" s="242" t="str">
        <f>'Exh F - AA-BL Items'!E17</f>
        <v>(Note A)</v>
      </c>
      <c r="F8" s="297" t="str">
        <f>'Exh F - AA-BL Items'!F17</f>
        <v>(Line 24)</v>
      </c>
      <c r="G8" s="525">
        <v>467649847</v>
      </c>
      <c r="H8" s="516">
        <v>380199326</v>
      </c>
      <c r="I8" s="516">
        <v>87450521</v>
      </c>
      <c r="J8" s="1125" t="s">
        <v>35</v>
      </c>
      <c r="K8" s="1126"/>
      <c r="L8" s="1126"/>
      <c r="M8" s="1126"/>
      <c r="N8" s="1126"/>
      <c r="O8" s="1126"/>
      <c r="P8" s="1126"/>
      <c r="Q8" s="1127"/>
      <c r="S8" s="645"/>
      <c r="T8" s="645"/>
      <c r="U8" s="645"/>
      <c r="V8" s="645"/>
      <c r="W8" s="645"/>
      <c r="X8" s="645"/>
      <c r="Y8" s="645"/>
      <c r="Z8" s="645"/>
      <c r="AA8" s="645"/>
      <c r="AB8" s="645"/>
      <c r="AC8" s="645"/>
      <c r="AD8" s="645"/>
      <c r="AE8" s="645"/>
      <c r="AF8" s="645"/>
      <c r="AG8" s="645"/>
    </row>
    <row r="9" spans="1:33" ht="43.5" customHeight="1">
      <c r="A9" s="296">
        <v>6</v>
      </c>
      <c r="B9" s="269"/>
      <c r="C9" s="233" t="s">
        <v>352</v>
      </c>
      <c r="D9" s="152"/>
      <c r="E9" s="242"/>
      <c r="F9" s="297" t="s">
        <v>910</v>
      </c>
      <c r="G9" s="731">
        <v>7072383472</v>
      </c>
      <c r="H9" s="732">
        <f>+G9-I9</f>
        <v>7071602223</v>
      </c>
      <c r="I9" s="732">
        <v>781249</v>
      </c>
      <c r="J9" s="1110" t="s">
        <v>990</v>
      </c>
      <c r="K9" s="1110"/>
      <c r="L9" s="1110"/>
      <c r="M9" s="1110"/>
      <c r="N9" s="1110"/>
      <c r="O9" s="1110"/>
      <c r="P9" s="1110"/>
      <c r="Q9" s="1111"/>
      <c r="S9" s="645"/>
      <c r="T9" s="645"/>
      <c r="U9" s="645"/>
      <c r="V9" s="645"/>
      <c r="W9" s="645"/>
      <c r="X9" s="645"/>
      <c r="Y9" s="645"/>
      <c r="Z9" s="645"/>
      <c r="AA9" s="645"/>
      <c r="AB9" s="645"/>
      <c r="AC9" s="645"/>
      <c r="AD9" s="645"/>
      <c r="AE9" s="645"/>
      <c r="AF9" s="645"/>
      <c r="AG9" s="645"/>
    </row>
    <row r="10" spans="1:33" ht="30.75" customHeight="1">
      <c r="A10" s="296">
        <v>9</v>
      </c>
      <c r="B10" s="38"/>
      <c r="C10" s="233" t="s">
        <v>171</v>
      </c>
      <c r="D10" s="134"/>
      <c r="E10" s="151"/>
      <c r="F10" s="297" t="s">
        <v>911</v>
      </c>
      <c r="G10" s="731">
        <v>2570902472</v>
      </c>
      <c r="H10" s="732">
        <f>+G10-I10</f>
        <v>2570412235.9200001</v>
      </c>
      <c r="I10" s="732">
        <v>490236.08</v>
      </c>
      <c r="J10" s="1110" t="s">
        <v>957</v>
      </c>
      <c r="K10" s="1110"/>
      <c r="L10" s="1110"/>
      <c r="M10" s="1110"/>
      <c r="N10" s="1110"/>
      <c r="O10" s="1110"/>
      <c r="P10" s="1110"/>
      <c r="Q10" s="1111"/>
      <c r="S10" s="645"/>
      <c r="T10" s="645"/>
      <c r="U10" s="645"/>
      <c r="V10" s="645"/>
      <c r="W10" s="645"/>
      <c r="X10" s="645"/>
      <c r="Y10" s="645"/>
      <c r="Z10" s="645"/>
      <c r="AA10" s="645"/>
      <c r="AB10" s="645"/>
      <c r="AC10" s="645"/>
      <c r="AD10" s="645"/>
      <c r="AE10" s="645"/>
      <c r="AF10" s="645"/>
      <c r="AG10" s="645"/>
    </row>
    <row r="11" spans="1:33" ht="44.45" customHeight="1">
      <c r="A11" s="296">
        <f>'Exh F - AA-BL Items'!A21</f>
        <v>10</v>
      </c>
      <c r="B11" s="269"/>
      <c r="C11" s="233" t="str">
        <f>'Exh F - AA-BL Items'!C21</f>
        <v>Accumulated Intangible Amortization</v>
      </c>
      <c r="D11" s="234"/>
      <c r="E11" s="242" t="str">
        <f>'Exh F - AA-BL Items'!E21</f>
        <v>(Note A)</v>
      </c>
      <c r="F11" s="286" t="s">
        <v>912</v>
      </c>
      <c r="G11" s="1034">
        <v>39160874</v>
      </c>
      <c r="H11" s="734">
        <f>+G11-I11</f>
        <v>39160874</v>
      </c>
      <c r="I11" s="734">
        <v>0</v>
      </c>
      <c r="J11" s="1110"/>
      <c r="K11" s="1110"/>
      <c r="L11" s="1110"/>
      <c r="M11" s="1110"/>
      <c r="N11" s="1110"/>
      <c r="O11" s="1110"/>
      <c r="P11" s="1110"/>
      <c r="Q11" s="1111"/>
      <c r="S11" s="645"/>
      <c r="T11" s="645"/>
      <c r="U11" s="645"/>
      <c r="V11" s="645"/>
      <c r="W11" s="645"/>
      <c r="X11" s="645"/>
      <c r="Y11" s="645"/>
      <c r="Z11" s="645"/>
      <c r="AA11" s="645"/>
      <c r="AB11" s="645"/>
      <c r="AC11" s="645"/>
      <c r="AD11" s="645"/>
      <c r="AE11" s="645"/>
      <c r="AF11" s="645"/>
      <c r="AG11" s="645"/>
    </row>
    <row r="12" spans="1:33" ht="15.75">
      <c r="A12" s="296">
        <f>'Exh F - AA-BL Items'!A22</f>
        <v>11</v>
      </c>
      <c r="B12" s="269"/>
      <c r="C12" s="233" t="str">
        <f>'Exh F - AA-BL Items'!C22</f>
        <v>Accumulated Common Amortization - Electric</v>
      </c>
      <c r="D12" s="234"/>
      <c r="E12" s="242" t="str">
        <f>'Exh F - AA-BL Items'!E22</f>
        <v>(Note A)</v>
      </c>
      <c r="F12" s="286" t="str">
        <f>'Exh F - AA-BL Items'!F22</f>
        <v>p356</v>
      </c>
      <c r="G12" s="1035">
        <v>0</v>
      </c>
      <c r="H12" s="530">
        <v>0</v>
      </c>
      <c r="I12" s="530">
        <v>0</v>
      </c>
      <c r="J12" s="1107"/>
      <c r="K12" s="1107"/>
      <c r="L12" s="1107"/>
      <c r="M12" s="1107"/>
      <c r="N12" s="1107"/>
      <c r="O12" s="1107"/>
      <c r="P12" s="1107"/>
      <c r="Q12" s="1114"/>
      <c r="S12" s="645"/>
      <c r="T12" s="645"/>
      <c r="U12" s="645"/>
      <c r="V12" s="645"/>
      <c r="W12" s="645"/>
      <c r="X12" s="645"/>
      <c r="Y12" s="645"/>
      <c r="Z12" s="645"/>
      <c r="AA12" s="645"/>
      <c r="AB12" s="645"/>
      <c r="AC12" s="645"/>
      <c r="AD12" s="645"/>
      <c r="AE12" s="645"/>
      <c r="AF12" s="645"/>
      <c r="AG12" s="645"/>
    </row>
    <row r="13" spans="1:33" ht="42.75" customHeight="1">
      <c r="A13" s="296">
        <f>'Exh F - AA-BL Items'!A23</f>
        <v>12</v>
      </c>
      <c r="B13" s="152"/>
      <c r="C13" s="243" t="str">
        <f>'Exh F - AA-BL Items'!C23</f>
        <v>Accumulated Common Plant Depreciation - Electric</v>
      </c>
      <c r="D13" s="234"/>
      <c r="E13" s="242" t="str">
        <f>'Exh F - AA-BL Items'!E23</f>
        <v>(Note A)</v>
      </c>
      <c r="F13" s="286" t="s">
        <v>175</v>
      </c>
      <c r="G13" s="1034">
        <v>168925561</v>
      </c>
      <c r="H13" s="734">
        <f>+G13-I13</f>
        <v>160360675.96000001</v>
      </c>
      <c r="I13" s="734">
        <f>8418941.31+119910.32+693.37+25340.04</f>
        <v>8564885.0399999991</v>
      </c>
      <c r="J13" s="1110" t="s">
        <v>1013</v>
      </c>
      <c r="K13" s="1110"/>
      <c r="L13" s="1110"/>
      <c r="M13" s="1110"/>
      <c r="N13" s="1110"/>
      <c r="O13" s="1110"/>
      <c r="P13" s="1110"/>
      <c r="Q13" s="1111"/>
      <c r="S13" s="631"/>
      <c r="T13" s="631"/>
      <c r="U13" s="631"/>
      <c r="V13" s="631"/>
      <c r="W13" s="631"/>
      <c r="X13" s="631"/>
      <c r="Y13" s="631"/>
      <c r="Z13" s="645"/>
      <c r="AA13" s="645"/>
      <c r="AB13" s="645"/>
      <c r="AC13" s="645"/>
      <c r="AD13" s="645"/>
      <c r="AE13" s="645"/>
      <c r="AF13" s="645"/>
      <c r="AG13" s="645"/>
    </row>
    <row r="14" spans="1:33" ht="15.75" customHeight="1">
      <c r="A14" s="289"/>
      <c r="B14" s="279" t="s">
        <v>280</v>
      </c>
      <c r="C14" s="152"/>
      <c r="D14" s="152"/>
      <c r="E14" s="295"/>
      <c r="F14" s="297"/>
      <c r="G14" s="379"/>
      <c r="H14" s="185"/>
      <c r="I14" s="185"/>
      <c r="J14" s="1107"/>
      <c r="K14" s="1107"/>
      <c r="L14" s="1107"/>
      <c r="M14" s="1107"/>
      <c r="N14" s="1107"/>
      <c r="O14" s="1107"/>
      <c r="P14" s="1107"/>
      <c r="Q14" s="1114"/>
      <c r="S14" s="756"/>
      <c r="T14" s="1031"/>
      <c r="U14" s="631"/>
      <c r="V14" s="631"/>
      <c r="W14" s="631"/>
      <c r="X14" s="631"/>
      <c r="Y14" s="631"/>
      <c r="Z14" s="645"/>
      <c r="AA14" s="645"/>
      <c r="AB14" s="645"/>
      <c r="AC14" s="645"/>
      <c r="AD14" s="645"/>
      <c r="AE14" s="645"/>
      <c r="AF14" s="645"/>
      <c r="AG14" s="645"/>
    </row>
    <row r="15" spans="1:33" ht="27.75" customHeight="1">
      <c r="A15" s="296">
        <v>19</v>
      </c>
      <c r="B15" s="152"/>
      <c r="C15" s="243" t="s">
        <v>317</v>
      </c>
      <c r="D15" s="9"/>
      <c r="E15" s="151"/>
      <c r="F15" s="286" t="s">
        <v>200</v>
      </c>
      <c r="G15" s="731">
        <v>1366505100</v>
      </c>
      <c r="H15" s="732">
        <f>+G15-I15</f>
        <v>1380029096.22</v>
      </c>
      <c r="I15" s="732">
        <v>-13523996.220000001</v>
      </c>
      <c r="J15" s="1110" t="s">
        <v>935</v>
      </c>
      <c r="K15" s="1110"/>
      <c r="L15" s="1110"/>
      <c r="M15" s="1110"/>
      <c r="N15" s="1110"/>
      <c r="O15" s="1110"/>
      <c r="P15" s="1110"/>
      <c r="Q15" s="1111"/>
      <c r="S15" s="631"/>
      <c r="T15" s="631"/>
      <c r="U15" s="631"/>
      <c r="V15" s="631"/>
      <c r="W15" s="631"/>
      <c r="X15" s="631"/>
      <c r="Y15" s="631"/>
      <c r="Z15" s="645"/>
      <c r="AA15" s="645"/>
      <c r="AB15" s="645"/>
      <c r="AC15" s="645"/>
      <c r="AD15" s="645"/>
      <c r="AE15" s="645"/>
      <c r="AF15" s="645"/>
      <c r="AG15" s="645"/>
    </row>
    <row r="16" spans="1:33" ht="40.700000000000003" customHeight="1">
      <c r="A16" s="296">
        <v>23</v>
      </c>
      <c r="B16" s="20"/>
      <c r="C16" s="243" t="s">
        <v>913</v>
      </c>
      <c r="D16" s="134"/>
      <c r="E16" s="733"/>
      <c r="F16" s="286" t="s">
        <v>914</v>
      </c>
      <c r="G16" s="1034">
        <f>65400390+96465140</f>
        <v>161865530</v>
      </c>
      <c r="H16" s="734">
        <f>+G16-I16</f>
        <v>129739868.93000001</v>
      </c>
      <c r="I16" s="734">
        <f>189717.04+17630698.81+1003278.97+12520717.25+781249</f>
        <v>32125661.069999997</v>
      </c>
      <c r="J16" s="1110" t="s">
        <v>1001</v>
      </c>
      <c r="K16" s="1110"/>
      <c r="L16" s="1110"/>
      <c r="M16" s="1110"/>
      <c r="N16" s="1110"/>
      <c r="O16" s="1110"/>
      <c r="P16" s="1110"/>
      <c r="Q16" s="1111"/>
      <c r="S16" s="631"/>
      <c r="T16" s="1031"/>
      <c r="U16" s="1031"/>
      <c r="V16" s="631"/>
      <c r="W16" s="631"/>
      <c r="X16" s="631"/>
      <c r="Y16" s="631"/>
      <c r="Z16" s="645"/>
      <c r="AA16" s="645"/>
      <c r="AB16" s="645"/>
      <c r="AC16" s="645"/>
      <c r="AD16" s="645"/>
      <c r="AE16" s="645"/>
      <c r="AF16" s="645"/>
      <c r="AG16" s="645"/>
    </row>
    <row r="17" spans="1:33" ht="57.2" customHeight="1">
      <c r="A17" s="296">
        <f>'Exh F - AA-BL Items'!A40</f>
        <v>24</v>
      </c>
      <c r="B17" s="258"/>
      <c r="C17" s="250" t="str">
        <f>'Exh F - AA-BL Items'!C40</f>
        <v>Common Plant (Electric Only)</v>
      </c>
      <c r="D17" s="234"/>
      <c r="E17" s="242" t="str">
        <f>'Exh F - AA-BL Items'!E40</f>
        <v>(Notes A)</v>
      </c>
      <c r="F17" s="286" t="s">
        <v>175</v>
      </c>
      <c r="G17" s="1034">
        <v>531522425</v>
      </c>
      <c r="H17" s="734">
        <f>+G17-I17</f>
        <v>513279898.19999999</v>
      </c>
      <c r="I17" s="734">
        <f>12617999.44+4062523+41601.84+1520402.52</f>
        <v>18242526.800000001</v>
      </c>
      <c r="J17" s="1110" t="s">
        <v>1012</v>
      </c>
      <c r="K17" s="1110"/>
      <c r="L17" s="1110"/>
      <c r="M17" s="1110"/>
      <c r="N17" s="1110"/>
      <c r="O17" s="1110"/>
      <c r="P17" s="1110"/>
      <c r="Q17" s="1111"/>
      <c r="S17" s="645"/>
      <c r="T17" s="1046"/>
      <c r="U17" s="645"/>
      <c r="V17" s="645"/>
      <c r="W17" s="645"/>
      <c r="X17" s="645"/>
      <c r="Y17" s="645"/>
      <c r="Z17" s="645"/>
      <c r="AA17" s="645"/>
      <c r="AB17" s="645"/>
      <c r="AC17" s="645"/>
      <c r="AD17" s="645"/>
      <c r="AE17" s="645"/>
      <c r="AF17" s="645"/>
      <c r="AG17" s="645"/>
    </row>
    <row r="18" spans="1:33" ht="22.7" customHeight="1">
      <c r="A18" s="296"/>
      <c r="B18" s="279" t="s">
        <v>223</v>
      </c>
      <c r="C18" s="279"/>
      <c r="D18" s="253"/>
      <c r="E18" s="251"/>
      <c r="F18" s="286"/>
      <c r="G18" s="462"/>
      <c r="H18" s="626"/>
      <c r="I18" s="626"/>
      <c r="J18" s="1107"/>
      <c r="K18" s="1107"/>
      <c r="L18" s="1107"/>
      <c r="M18" s="1107"/>
      <c r="N18" s="1107"/>
      <c r="O18" s="1107"/>
      <c r="P18" s="1107"/>
      <c r="Q18" s="1114"/>
      <c r="S18" s="645"/>
      <c r="T18" s="1046"/>
      <c r="U18" s="645"/>
      <c r="V18" s="645"/>
      <c r="W18" s="645"/>
      <c r="X18" s="645"/>
      <c r="Y18" s="645"/>
      <c r="Z18" s="645"/>
      <c r="AA18" s="645"/>
      <c r="AB18" s="645"/>
      <c r="AC18" s="645"/>
      <c r="AD18" s="645"/>
      <c r="AE18" s="645"/>
      <c r="AF18" s="645"/>
      <c r="AG18" s="645"/>
    </row>
    <row r="19" spans="1:33" ht="25.5" customHeight="1">
      <c r="A19" s="296">
        <v>30</v>
      </c>
      <c r="B19" s="20"/>
      <c r="C19" s="250" t="s">
        <v>351</v>
      </c>
      <c r="D19" s="9"/>
      <c r="E19" s="151"/>
      <c r="F19" s="286" t="s">
        <v>915</v>
      </c>
      <c r="G19" s="1034">
        <v>387044314</v>
      </c>
      <c r="H19" s="734">
        <f>+G19-I19</f>
        <v>394140531.02999997</v>
      </c>
      <c r="I19" s="734">
        <v>-7096217.0300000003</v>
      </c>
      <c r="J19" s="1110" t="s">
        <v>935</v>
      </c>
      <c r="K19" s="1110"/>
      <c r="L19" s="1110"/>
      <c r="M19" s="1110"/>
      <c r="N19" s="1110"/>
      <c r="O19" s="1110"/>
      <c r="P19" s="1110"/>
      <c r="Q19" s="1111"/>
      <c r="S19" s="645"/>
      <c r="T19" s="1046"/>
      <c r="U19" s="645"/>
      <c r="V19" s="645"/>
      <c r="W19" s="645"/>
      <c r="X19" s="645"/>
      <c r="Y19" s="645"/>
      <c r="Z19" s="645"/>
      <c r="AA19" s="645"/>
      <c r="AB19" s="645"/>
      <c r="AC19" s="645"/>
      <c r="AD19" s="645"/>
      <c r="AE19" s="645"/>
      <c r="AF19" s="645"/>
      <c r="AG19" s="645"/>
    </row>
    <row r="20" spans="1:33" ht="18" customHeight="1">
      <c r="A20" s="296">
        <v>31</v>
      </c>
      <c r="B20" s="20"/>
      <c r="C20" s="250" t="s">
        <v>398</v>
      </c>
      <c r="D20" s="9"/>
      <c r="E20" s="151"/>
      <c r="F20" s="286" t="s">
        <v>1014</v>
      </c>
      <c r="G20" s="731">
        <v>37689900</v>
      </c>
      <c r="H20" s="732">
        <f>+G20-I20</f>
        <v>37199663.920000002</v>
      </c>
      <c r="I20" s="732">
        <v>490236.08</v>
      </c>
      <c r="J20" s="1110" t="s">
        <v>957</v>
      </c>
      <c r="K20" s="1110"/>
      <c r="L20" s="1110"/>
      <c r="M20" s="1110"/>
      <c r="N20" s="1110"/>
      <c r="O20" s="1110"/>
      <c r="P20" s="1110"/>
      <c r="Q20" s="1111"/>
      <c r="S20" s="645"/>
      <c r="T20" s="1046"/>
      <c r="U20" s="645"/>
      <c r="V20" s="645"/>
      <c r="W20" s="645"/>
      <c r="X20" s="645"/>
      <c r="Y20" s="645"/>
      <c r="Z20" s="645"/>
      <c r="AA20" s="645"/>
      <c r="AB20" s="645"/>
      <c r="AC20" s="645"/>
      <c r="AD20" s="645"/>
      <c r="AE20" s="645"/>
      <c r="AF20" s="645"/>
      <c r="AG20" s="645"/>
    </row>
    <row r="21" spans="1:33" ht="26.45" customHeight="1">
      <c r="A21" s="296">
        <v>32</v>
      </c>
      <c r="B21" s="58"/>
      <c r="C21" s="250" t="s">
        <v>363</v>
      </c>
      <c r="D21" s="134"/>
      <c r="E21" s="242" t="s">
        <v>344</v>
      </c>
      <c r="F21" s="286" t="s">
        <v>376</v>
      </c>
      <c r="G21" s="1034">
        <v>39160874</v>
      </c>
      <c r="H21" s="734">
        <f>+G21-I21</f>
        <v>24123641.52</v>
      </c>
      <c r="I21" s="734">
        <v>15037232.48</v>
      </c>
      <c r="J21" s="1110" t="s">
        <v>991</v>
      </c>
      <c r="K21" s="1110"/>
      <c r="L21" s="1110"/>
      <c r="M21" s="1110"/>
      <c r="N21" s="1110"/>
      <c r="O21" s="1110"/>
      <c r="P21" s="1110"/>
      <c r="Q21" s="1111"/>
      <c r="S21" s="645"/>
      <c r="T21" s="645"/>
      <c r="U21" s="645"/>
      <c r="V21" s="645"/>
      <c r="W21" s="645"/>
      <c r="X21" s="645"/>
      <c r="Y21" s="645"/>
      <c r="Z21" s="645"/>
      <c r="AA21" s="645"/>
      <c r="AB21" s="645"/>
      <c r="AC21" s="645"/>
      <c r="AD21" s="645"/>
      <c r="AE21" s="645"/>
      <c r="AF21" s="645"/>
      <c r="AG21" s="645"/>
    </row>
    <row r="22" spans="1:33" ht="15.75" customHeight="1">
      <c r="A22" s="302"/>
      <c r="B22" s="252" t="s">
        <v>414</v>
      </c>
      <c r="C22" s="152"/>
      <c r="D22" s="233"/>
      <c r="E22" s="242"/>
      <c r="F22" s="290"/>
      <c r="G22" s="379"/>
      <c r="H22" s="185"/>
      <c r="I22" s="185"/>
      <c r="J22" s="1107"/>
      <c r="K22" s="1107"/>
      <c r="L22" s="1107"/>
      <c r="M22" s="1107"/>
      <c r="N22" s="1107"/>
      <c r="O22" s="1107"/>
      <c r="P22" s="1107"/>
      <c r="Q22" s="1114"/>
    </row>
    <row r="23" spans="1:33" ht="15.75" customHeight="1">
      <c r="A23" s="296">
        <f>'Exh F - AA-BL Items'!A71</f>
        <v>41</v>
      </c>
      <c r="B23" s="233"/>
      <c r="C23" s="254" t="str">
        <f>'Exh F - AA-BL Items'!C71</f>
        <v>Accumulated Investment Tax Credit Account No. 255</v>
      </c>
      <c r="D23" s="242"/>
      <c r="E23" s="242" t="str">
        <f>'Exh F - AA-BL Items'!E71</f>
        <v>(Notes A &amp; I)</v>
      </c>
      <c r="F23" s="297" t="str">
        <f>'Exh F - AA-BL Items'!F71</f>
        <v>p266.h</v>
      </c>
      <c r="G23" s="525">
        <v>0</v>
      </c>
      <c r="H23" s="516">
        <v>0</v>
      </c>
      <c r="I23" s="530">
        <v>0</v>
      </c>
      <c r="J23" s="1115" t="s">
        <v>916</v>
      </c>
      <c r="K23" s="1115"/>
      <c r="L23" s="1115"/>
      <c r="M23" s="1115"/>
      <c r="N23" s="1115"/>
      <c r="O23" s="1115"/>
      <c r="P23" s="1115"/>
      <c r="Q23" s="1116"/>
    </row>
    <row r="24" spans="1:33" ht="15.75">
      <c r="A24" s="296"/>
      <c r="B24" s="252" t="s">
        <v>219</v>
      </c>
      <c r="C24" s="233"/>
      <c r="D24" s="233"/>
      <c r="E24" s="312"/>
      <c r="F24" s="313"/>
      <c r="G24" s="379"/>
      <c r="H24" s="185"/>
      <c r="I24" s="185"/>
      <c r="J24" s="1115"/>
      <c r="K24" s="1115"/>
      <c r="L24" s="1115"/>
      <c r="M24" s="1115"/>
      <c r="N24" s="1115"/>
      <c r="O24" s="1115"/>
      <c r="P24" s="1115"/>
      <c r="Q24" s="1116"/>
    </row>
    <row r="25" spans="1:33" ht="30.75" customHeight="1">
      <c r="A25" s="656">
        <v>47</v>
      </c>
      <c r="B25" s="233"/>
      <c r="C25" s="539" t="str">
        <f>'Exh F - AA-BL Items'!C82</f>
        <v>Undistributed Stores Exp</v>
      </c>
      <c r="D25" s="622"/>
      <c r="E25" s="540" t="str">
        <f>'Exh F - AA-BL Items'!E82</f>
        <v>(Note A)</v>
      </c>
      <c r="F25" s="541" t="str">
        <f>'Exh F - AA-BL Items'!F82</f>
        <v>p227.6c &amp; 16.c</v>
      </c>
      <c r="G25" s="542">
        <v>0</v>
      </c>
      <c r="H25" s="543">
        <f>G25*0.748</f>
        <v>0</v>
      </c>
      <c r="I25" s="543">
        <f>G25*0.252</f>
        <v>0</v>
      </c>
      <c r="J25" s="1131" t="s">
        <v>74</v>
      </c>
      <c r="K25" s="1131"/>
      <c r="L25" s="1131"/>
      <c r="M25" s="1131"/>
      <c r="N25" s="1131"/>
      <c r="O25" s="1131"/>
      <c r="P25" s="1131"/>
      <c r="Q25" s="1132"/>
    </row>
    <row r="26" spans="1:33" ht="6.75" customHeight="1">
      <c r="A26" s="302"/>
      <c r="B26" s="233"/>
      <c r="C26" s="233"/>
      <c r="D26" s="243"/>
      <c r="E26" s="282"/>
      <c r="F26" s="314"/>
      <c r="G26" s="525"/>
      <c r="H26" s="516"/>
      <c r="I26" s="516"/>
      <c r="J26" s="1115"/>
      <c r="K26" s="1115"/>
      <c r="L26" s="1115"/>
      <c r="M26" s="1115"/>
      <c r="N26" s="1115"/>
      <c r="O26" s="1115"/>
      <c r="P26" s="1115"/>
      <c r="Q26" s="1116"/>
    </row>
    <row r="27" spans="1:33" ht="15.75">
      <c r="A27" s="296"/>
      <c r="B27" s="279" t="s">
        <v>208</v>
      </c>
      <c r="C27" s="243"/>
      <c r="D27" s="243"/>
      <c r="E27" s="295"/>
      <c r="F27" s="321"/>
      <c r="G27" s="379"/>
      <c r="H27" s="185"/>
      <c r="I27" s="185"/>
      <c r="J27" s="1024"/>
      <c r="K27" s="1024"/>
      <c r="L27" s="1024"/>
      <c r="M27" s="1024"/>
      <c r="N27" s="1024"/>
      <c r="O27" s="1024"/>
      <c r="P27" s="1024"/>
      <c r="Q27" s="1016"/>
    </row>
    <row r="28" spans="1:33" ht="15.75">
      <c r="A28" s="296">
        <v>65</v>
      </c>
      <c r="B28" s="279"/>
      <c r="C28" s="254" t="str">
        <f>'ATT H-2A'!C118</f>
        <v xml:space="preserve">     Plus Transmission Lease Payments</v>
      </c>
      <c r="D28" s="243"/>
      <c r="E28" s="325" t="str">
        <f>+'ATT H-2A'!E118</f>
        <v>(Note A)</v>
      </c>
      <c r="F28" s="375" t="str">
        <f>+'ATT H-2A'!F118</f>
        <v>Attachment 5</v>
      </c>
      <c r="G28" s="379"/>
      <c r="H28" s="185"/>
      <c r="I28" s="185"/>
      <c r="J28" s="1115"/>
      <c r="K28" s="1115"/>
      <c r="L28" s="1115"/>
      <c r="M28" s="1115"/>
      <c r="N28" s="1115"/>
      <c r="O28" s="1115"/>
      <c r="P28" s="1115"/>
      <c r="Q28" s="1116"/>
    </row>
    <row r="29" spans="1:33" ht="30.75" customHeight="1">
      <c r="A29" s="657">
        <v>67</v>
      </c>
      <c r="B29" s="277"/>
      <c r="C29" s="544" t="str">
        <f>'Exh F - AA-BL Items'!C111</f>
        <v>Common Plant O&amp;M</v>
      </c>
      <c r="D29" s="622"/>
      <c r="E29" s="545" t="str">
        <f>'Exh F - AA-BL Items'!E111</f>
        <v>(Note A)</v>
      </c>
      <c r="F29" s="552" t="s">
        <v>72</v>
      </c>
      <c r="G29" s="542">
        <v>0</v>
      </c>
      <c r="H29" s="543">
        <v>0</v>
      </c>
      <c r="I29" s="543">
        <v>0</v>
      </c>
      <c r="J29" s="1131" t="s">
        <v>71</v>
      </c>
      <c r="K29" s="1131"/>
      <c r="L29" s="1131"/>
      <c r="M29" s="1131"/>
      <c r="N29" s="1131"/>
      <c r="O29" s="1131"/>
      <c r="P29" s="1131"/>
      <c r="Q29" s="1132"/>
    </row>
    <row r="30" spans="1:33" ht="8.4499999999999993" customHeight="1">
      <c r="A30" s="296"/>
      <c r="B30" s="277"/>
      <c r="C30" s="254"/>
      <c r="D30" s="243"/>
      <c r="E30" s="319"/>
      <c r="F30" s="286"/>
      <c r="G30" s="525"/>
      <c r="H30" s="516"/>
      <c r="I30" s="516"/>
      <c r="J30" s="536"/>
      <c r="K30" s="1014"/>
      <c r="L30" s="1014"/>
      <c r="M30" s="1014"/>
      <c r="N30" s="1014"/>
      <c r="O30" s="1014"/>
      <c r="P30" s="1014"/>
      <c r="Q30" s="1015"/>
    </row>
    <row r="31" spans="1:33" ht="15.75">
      <c r="A31" s="302"/>
      <c r="B31" s="273" t="s">
        <v>170</v>
      </c>
      <c r="C31" s="269"/>
      <c r="D31" s="152"/>
      <c r="E31" s="234"/>
      <c r="F31" s="323"/>
      <c r="G31" s="379"/>
      <c r="H31" s="185"/>
      <c r="I31" s="185"/>
      <c r="J31" s="756"/>
      <c r="K31" s="756"/>
      <c r="L31" s="1014"/>
      <c r="M31" s="1014"/>
      <c r="N31" s="1014"/>
      <c r="O31" s="1014"/>
      <c r="P31" s="1014"/>
      <c r="Q31" s="1015"/>
    </row>
    <row r="32" spans="1:33" ht="29.25" customHeight="1">
      <c r="A32" s="657">
        <v>85</v>
      </c>
      <c r="B32" s="129"/>
      <c r="C32" s="544" t="s">
        <v>917</v>
      </c>
      <c r="D32" s="38"/>
      <c r="E32" s="134"/>
      <c r="F32" s="541" t="s">
        <v>918</v>
      </c>
      <c r="G32" s="731">
        <v>31572418</v>
      </c>
      <c r="H32" s="734">
        <f>+G32-I32</f>
        <v>32412596.420000002</v>
      </c>
      <c r="I32" s="732">
        <v>-840178.42</v>
      </c>
      <c r="J32" s="1110" t="s">
        <v>992</v>
      </c>
      <c r="K32" s="1110"/>
      <c r="L32" s="1110"/>
      <c r="M32" s="1110"/>
      <c r="N32" s="1110"/>
      <c r="O32" s="1110"/>
      <c r="P32" s="1110"/>
      <c r="Q32" s="1111"/>
      <c r="S32" s="810"/>
      <c r="T32" s="645"/>
      <c r="U32" s="645"/>
      <c r="V32" s="645"/>
      <c r="W32" s="645"/>
      <c r="X32" s="645"/>
      <c r="Y32" s="645"/>
      <c r="Z32" s="645"/>
      <c r="AA32" s="645"/>
      <c r="AB32" s="645"/>
      <c r="AC32" s="645"/>
    </row>
    <row r="33" spans="1:29" ht="27.75" customHeight="1">
      <c r="A33" s="657">
        <v>86</v>
      </c>
      <c r="B33" s="129"/>
      <c r="C33" s="544" t="s">
        <v>338</v>
      </c>
      <c r="D33" s="134"/>
      <c r="E33" s="134"/>
      <c r="F33" s="541" t="s">
        <v>919</v>
      </c>
      <c r="G33" s="731">
        <v>5898960</v>
      </c>
      <c r="H33" s="734">
        <f>+G33-I33</f>
        <v>5898960</v>
      </c>
      <c r="I33" s="734">
        <v>0</v>
      </c>
      <c r="J33" s="1112"/>
      <c r="K33" s="1112"/>
      <c r="L33" s="1112"/>
      <c r="M33" s="1112"/>
      <c r="N33" s="1112"/>
      <c r="O33" s="1112"/>
      <c r="P33" s="1112"/>
      <c r="Q33" s="1109"/>
      <c r="S33" s="810"/>
      <c r="T33" s="645"/>
      <c r="U33" s="645"/>
      <c r="V33" s="645"/>
      <c r="W33" s="645"/>
      <c r="X33" s="645"/>
      <c r="Y33" s="645"/>
      <c r="Z33" s="645"/>
      <c r="AA33" s="645"/>
      <c r="AB33" s="645"/>
      <c r="AC33" s="645"/>
    </row>
    <row r="34" spans="1:29" ht="27.75" customHeight="1">
      <c r="A34" s="296">
        <v>87</v>
      </c>
      <c r="B34" s="324"/>
      <c r="C34" s="261" t="str">
        <f>'Exh F - AA-BL Items'!C140</f>
        <v>Intangible Amortization</v>
      </c>
      <c r="D34" s="264"/>
      <c r="E34" s="325" t="str">
        <f>'Exh F - AA-BL Items'!E140</f>
        <v>(Note A)</v>
      </c>
      <c r="F34" s="541" t="s">
        <v>920</v>
      </c>
      <c r="G34" s="731">
        <v>5650428</v>
      </c>
      <c r="H34" s="734">
        <f>+G34-I34</f>
        <v>3352525.87</v>
      </c>
      <c r="I34" s="734">
        <f>1457723.71+840178.42</f>
        <v>2297902.13</v>
      </c>
      <c r="J34" s="1110" t="s">
        <v>921</v>
      </c>
      <c r="K34" s="1110"/>
      <c r="L34" s="1110"/>
      <c r="M34" s="1110"/>
      <c r="N34" s="1110"/>
      <c r="O34" s="1110"/>
      <c r="P34" s="1110"/>
      <c r="Q34" s="1111"/>
      <c r="S34" s="810"/>
      <c r="T34" s="645"/>
      <c r="U34" s="645"/>
      <c r="V34" s="645"/>
      <c r="W34" s="645"/>
      <c r="X34" s="645"/>
      <c r="Y34" s="645"/>
      <c r="Z34" s="645"/>
      <c r="AA34" s="645"/>
      <c r="AB34" s="645"/>
      <c r="AC34" s="645"/>
    </row>
    <row r="35" spans="1:29" ht="30.2" customHeight="1">
      <c r="A35" s="296">
        <v>90</v>
      </c>
      <c r="B35" s="324"/>
      <c r="C35" s="261" t="s">
        <v>285</v>
      </c>
      <c r="D35" s="163"/>
      <c r="E35" s="735"/>
      <c r="F35" s="736" t="s">
        <v>922</v>
      </c>
      <c r="G35" s="731">
        <f>+'ATT H-2A'!H156</f>
        <v>1576465.0804079922</v>
      </c>
      <c r="H35" s="734">
        <f>+G35-I35</f>
        <v>1576465.0804079922</v>
      </c>
      <c r="I35" s="734">
        <v>0</v>
      </c>
      <c r="J35" s="1110"/>
      <c r="K35" s="1110"/>
      <c r="L35" s="1110"/>
      <c r="M35" s="1110"/>
      <c r="N35" s="1110"/>
      <c r="O35" s="1110"/>
      <c r="P35" s="1110"/>
      <c r="Q35" s="1111"/>
      <c r="S35" s="810"/>
      <c r="T35" s="645"/>
      <c r="U35" s="645"/>
      <c r="V35" s="645"/>
      <c r="W35" s="645"/>
      <c r="X35" s="645"/>
      <c r="Y35" s="645"/>
      <c r="Z35" s="645"/>
      <c r="AA35" s="645"/>
      <c r="AB35" s="645"/>
      <c r="AC35" s="645"/>
    </row>
    <row r="36" spans="1:29" ht="39.75" customHeight="1">
      <c r="A36" s="296">
        <v>91</v>
      </c>
      <c r="B36" s="311"/>
      <c r="C36" s="260" t="str">
        <f>'Exh F - AA-BL Items'!C145</f>
        <v>Common Depreciation - Electric Only</v>
      </c>
      <c r="D36" s="264"/>
      <c r="E36" s="325" t="str">
        <f>'Exh F - AA-BL Items'!E145</f>
        <v>(Note A)</v>
      </c>
      <c r="F36" s="314" t="s">
        <v>964</v>
      </c>
      <c r="G36" s="1035">
        <v>20274059</v>
      </c>
      <c r="H36" s="734">
        <f t="shared" ref="H36:H37" si="0">+G36-I36</f>
        <v>19875625.240952719</v>
      </c>
      <c r="I36" s="530">
        <v>398433.75904727995</v>
      </c>
      <c r="J36" s="1110" t="s">
        <v>993</v>
      </c>
      <c r="K36" s="1110"/>
      <c r="L36" s="1110"/>
      <c r="M36" s="1110"/>
      <c r="N36" s="1110"/>
      <c r="O36" s="1110"/>
      <c r="P36" s="1110"/>
      <c r="Q36" s="1111"/>
      <c r="S36" s="810"/>
      <c r="T36" s="645"/>
      <c r="U36" s="645"/>
      <c r="V36" s="645"/>
      <c r="W36" s="645"/>
      <c r="X36" s="645"/>
      <c r="Y36" s="645"/>
      <c r="Z36" s="645"/>
      <c r="AA36" s="645"/>
      <c r="AB36" s="645"/>
      <c r="AC36" s="645"/>
    </row>
    <row r="37" spans="1:29" ht="44.45" customHeight="1" thickBot="1">
      <c r="A37" s="349">
        <v>92</v>
      </c>
      <c r="B37" s="360"/>
      <c r="C37" s="361" t="str">
        <f>'Exh F - AA-BL Items'!C146</f>
        <v>Common Amortization - Electric Only</v>
      </c>
      <c r="D37" s="623"/>
      <c r="E37" s="362" t="str">
        <f>'Exh F - AA-BL Items'!E146</f>
        <v>(Note A)</v>
      </c>
      <c r="F37" s="363" t="s">
        <v>964</v>
      </c>
      <c r="G37" s="811">
        <v>27096863</v>
      </c>
      <c r="H37" s="812">
        <f t="shared" si="0"/>
        <v>25341278.238959998</v>
      </c>
      <c r="I37" s="812">
        <f>1730922.85104+656.83+24005.08</f>
        <v>1755584.7610400002</v>
      </c>
      <c r="J37" s="1133" t="s">
        <v>1010</v>
      </c>
      <c r="K37" s="1133"/>
      <c r="L37" s="1133"/>
      <c r="M37" s="1133"/>
      <c r="N37" s="1133"/>
      <c r="O37" s="1133"/>
      <c r="P37" s="1133"/>
      <c r="Q37" s="1134"/>
      <c r="S37" s="810"/>
      <c r="T37" s="645"/>
      <c r="U37" s="645"/>
      <c r="V37" s="645"/>
      <c r="W37" s="645"/>
      <c r="X37" s="645"/>
      <c r="Y37" s="645"/>
      <c r="Z37" s="645"/>
      <c r="AA37" s="645"/>
      <c r="AB37" s="645"/>
      <c r="AC37" s="645"/>
    </row>
    <row r="38" spans="1:29" ht="11.25" customHeight="1">
      <c r="G38" s="183"/>
      <c r="H38" s="183"/>
      <c r="I38" s="183"/>
      <c r="J38" s="183"/>
      <c r="K38" s="183"/>
      <c r="L38" s="183"/>
      <c r="M38" s="183"/>
      <c r="N38" s="183"/>
      <c r="O38" s="183"/>
      <c r="P38" s="183"/>
      <c r="Q38" s="183"/>
      <c r="S38" s="645"/>
      <c r="T38" s="645"/>
      <c r="U38" s="645"/>
      <c r="V38" s="645"/>
      <c r="W38" s="645"/>
      <c r="X38" s="645"/>
      <c r="Y38" s="645"/>
      <c r="Z38" s="645"/>
      <c r="AA38" s="645"/>
      <c r="AB38" s="645"/>
      <c r="AC38" s="645"/>
    </row>
    <row r="39" spans="1:29">
      <c r="G39" s="183"/>
      <c r="H39" s="183"/>
      <c r="I39" s="183"/>
      <c r="J39" s="183"/>
      <c r="K39" s="183"/>
      <c r="L39" s="183"/>
      <c r="M39" s="183"/>
      <c r="N39" s="183"/>
      <c r="O39" s="183"/>
      <c r="P39" s="183"/>
      <c r="Q39" s="183"/>
      <c r="S39" s="645"/>
      <c r="T39" s="645"/>
      <c r="U39" s="645"/>
      <c r="V39" s="645"/>
      <c r="W39" s="645"/>
      <c r="X39" s="645"/>
      <c r="Y39" s="645"/>
      <c r="Z39" s="645"/>
      <c r="AA39" s="645"/>
      <c r="AB39" s="645"/>
      <c r="AC39" s="645"/>
    </row>
    <row r="40" spans="1:29" ht="21" thickBot="1">
      <c r="A40" s="359" t="s">
        <v>622</v>
      </c>
      <c r="G40" s="183"/>
      <c r="H40" s="183"/>
      <c r="I40" s="183"/>
      <c r="J40" s="183"/>
      <c r="K40" s="183"/>
      <c r="L40" s="183"/>
      <c r="M40" s="183"/>
      <c r="N40" s="183"/>
      <c r="O40" s="183"/>
      <c r="P40" s="183"/>
      <c r="Q40" s="183"/>
      <c r="S40" s="645"/>
      <c r="T40" s="645"/>
      <c r="U40" s="645"/>
      <c r="V40" s="645"/>
      <c r="W40" s="645"/>
      <c r="X40" s="645"/>
      <c r="Y40" s="645"/>
      <c r="Z40" s="645"/>
      <c r="AA40" s="645"/>
      <c r="AB40" s="645"/>
      <c r="AC40" s="645"/>
    </row>
    <row r="41" spans="1:29" ht="50.25" customHeight="1">
      <c r="A41" s="1084" t="s">
        <v>10</v>
      </c>
      <c r="B41" s="1085"/>
      <c r="C41" s="1085"/>
      <c r="D41" s="1085"/>
      <c r="E41" s="1085"/>
      <c r="F41" s="1086"/>
      <c r="G41" s="822" t="s">
        <v>535</v>
      </c>
      <c r="H41" s="822" t="s">
        <v>539</v>
      </c>
      <c r="I41" s="822" t="s">
        <v>614</v>
      </c>
      <c r="J41" s="1087" t="s">
        <v>462</v>
      </c>
      <c r="K41" s="1089"/>
      <c r="L41" s="1089"/>
      <c r="M41" s="1089"/>
      <c r="N41" s="1089"/>
      <c r="O41" s="1089"/>
      <c r="P41" s="1089"/>
      <c r="Q41" s="1120"/>
      <c r="S41" s="645"/>
      <c r="T41" s="645"/>
      <c r="U41" s="645"/>
      <c r="V41" s="645"/>
      <c r="W41" s="645"/>
      <c r="X41" s="645"/>
      <c r="Y41" s="645"/>
      <c r="Z41" s="645"/>
      <c r="AA41" s="645"/>
      <c r="AB41" s="645"/>
      <c r="AC41" s="645"/>
    </row>
    <row r="42" spans="1:29" ht="33.75" customHeight="1">
      <c r="A42" s="296">
        <f>+'Exh F - AA-BL Items'!A45</f>
        <v>28</v>
      </c>
      <c r="B42" s="277"/>
      <c r="C42" s="252" t="str">
        <f>+'Exh F - AA-BL Items'!C45</f>
        <v>Plant Held for Future Use (Including Land)</v>
      </c>
      <c r="D42" s="242"/>
      <c r="E42" s="325" t="str">
        <f>+'Exh F - AA-BL Items'!E45</f>
        <v>(Note C)</v>
      </c>
      <c r="F42" s="375" t="str">
        <f>+'Exh F - AA-BL Items'!F45</f>
        <v>Attachment 5</v>
      </c>
      <c r="G42" s="516">
        <v>25681269</v>
      </c>
      <c r="H42" s="734">
        <f>+G42-I42</f>
        <v>13115103</v>
      </c>
      <c r="I42" s="814">
        <f>3029940+4850438+860738+782739+538877+487822+476682+453048+1085882</f>
        <v>12566166</v>
      </c>
      <c r="J42" s="1107" t="s">
        <v>44</v>
      </c>
      <c r="K42" s="1107"/>
      <c r="L42" s="1107"/>
      <c r="M42" s="1107"/>
      <c r="N42" s="1107"/>
      <c r="O42" s="1107"/>
      <c r="P42" s="1107"/>
      <c r="Q42" s="1114"/>
      <c r="S42" s="645"/>
      <c r="T42" s="645"/>
      <c r="U42" s="645"/>
      <c r="V42" s="645"/>
      <c r="W42" s="645"/>
      <c r="X42" s="645"/>
      <c r="Y42" s="645"/>
      <c r="Z42" s="645"/>
      <c r="AA42" s="645"/>
      <c r="AB42" s="645"/>
      <c r="AC42" s="645"/>
    </row>
    <row r="43" spans="1:29" ht="15.75" hidden="1" customHeight="1">
      <c r="A43" s="296"/>
      <c r="B43" s="279" t="s">
        <v>207</v>
      </c>
      <c r="C43" s="233"/>
      <c r="D43" s="243"/>
      <c r="E43" s="251"/>
      <c r="F43" s="293"/>
      <c r="G43" s="185"/>
      <c r="H43" s="626"/>
      <c r="I43" s="626"/>
      <c r="J43" s="1080"/>
      <c r="K43" s="1080"/>
      <c r="L43" s="1080"/>
      <c r="M43" s="1080"/>
      <c r="N43" s="1080"/>
      <c r="O43" s="1080"/>
      <c r="P43" s="1080"/>
      <c r="Q43" s="1135"/>
      <c r="S43" s="645"/>
      <c r="T43" s="645"/>
      <c r="U43" s="645"/>
      <c r="V43" s="645"/>
      <c r="W43" s="645"/>
      <c r="X43" s="645"/>
      <c r="Y43" s="645"/>
      <c r="Z43" s="645"/>
      <c r="AA43" s="645"/>
      <c r="AB43" s="645"/>
      <c r="AC43" s="645"/>
    </row>
    <row r="44" spans="1:29" ht="16.5" hidden="1" customHeight="1" thickBot="1">
      <c r="A44" s="296">
        <v>73</v>
      </c>
      <c r="B44" s="311"/>
      <c r="C44" s="260" t="s">
        <v>386</v>
      </c>
      <c r="D44" s="242"/>
      <c r="E44" s="282" t="s">
        <v>345</v>
      </c>
      <c r="F44" s="314" t="s">
        <v>168</v>
      </c>
      <c r="G44" s="229" t="s">
        <v>538</v>
      </c>
      <c r="H44" s="813" t="s">
        <v>538</v>
      </c>
      <c r="I44" s="813" t="s">
        <v>538</v>
      </c>
      <c r="J44" s="1080" t="s">
        <v>537</v>
      </c>
      <c r="K44" s="1080"/>
      <c r="L44" s="1080"/>
      <c r="M44" s="1080"/>
      <c r="N44" s="1080"/>
      <c r="O44" s="1080"/>
      <c r="P44" s="1080"/>
      <c r="Q44" s="1135"/>
      <c r="S44" s="645"/>
      <c r="T44" s="645"/>
      <c r="U44" s="645"/>
      <c r="V44" s="645"/>
      <c r="W44" s="645"/>
      <c r="X44" s="645"/>
      <c r="Y44" s="645"/>
      <c r="Z44" s="645"/>
      <c r="AA44" s="645"/>
      <c r="AB44" s="645"/>
      <c r="AC44" s="645"/>
    </row>
    <row r="45" spans="1:29" ht="15.75">
      <c r="A45" s="296"/>
      <c r="B45" s="311"/>
      <c r="C45" s="260"/>
      <c r="D45" s="243"/>
      <c r="E45" s="325"/>
      <c r="F45" s="314"/>
      <c r="G45" s="185"/>
      <c r="H45" s="734">
        <v>6441624</v>
      </c>
      <c r="I45" s="626"/>
      <c r="J45" s="626">
        <v>1</v>
      </c>
      <c r="K45" s="626" t="s">
        <v>959</v>
      </c>
      <c r="L45" s="626"/>
      <c r="M45" s="626"/>
      <c r="N45" s="626"/>
      <c r="O45" s="626"/>
      <c r="P45" s="626"/>
      <c r="Q45" s="473"/>
      <c r="S45" s="645"/>
      <c r="T45" s="645"/>
      <c r="U45" s="645"/>
      <c r="V45" s="645"/>
      <c r="W45" s="645"/>
      <c r="X45" s="645"/>
      <c r="Y45" s="645"/>
      <c r="Z45" s="645"/>
      <c r="AA45" s="645"/>
      <c r="AB45" s="645"/>
      <c r="AC45" s="645"/>
    </row>
    <row r="46" spans="1:29" ht="15.75">
      <c r="A46" s="296"/>
      <c r="B46" s="311"/>
      <c r="C46" s="260"/>
      <c r="D46" s="243"/>
      <c r="E46" s="325"/>
      <c r="F46" s="314"/>
      <c r="G46" s="185"/>
      <c r="H46" s="734">
        <v>5646897</v>
      </c>
      <c r="I46" s="626"/>
      <c r="J46" s="626">
        <v>2</v>
      </c>
      <c r="K46" s="626" t="s">
        <v>960</v>
      </c>
      <c r="L46" s="626"/>
      <c r="M46" s="626"/>
      <c r="N46" s="626"/>
      <c r="O46" s="626"/>
      <c r="P46" s="626"/>
      <c r="Q46" s="473"/>
      <c r="S46" s="645"/>
      <c r="T46" s="645"/>
      <c r="U46" s="645"/>
      <c r="V46" s="645"/>
      <c r="W46" s="645"/>
      <c r="X46" s="645"/>
      <c r="Y46" s="645"/>
      <c r="Z46" s="645"/>
      <c r="AA46" s="645"/>
      <c r="AB46" s="645"/>
      <c r="AC46" s="645"/>
    </row>
    <row r="47" spans="1:29" ht="15.75">
      <c r="A47" s="296"/>
      <c r="B47" s="311"/>
      <c r="C47" s="260"/>
      <c r="D47" s="243"/>
      <c r="E47" s="325"/>
      <c r="F47" s="314"/>
      <c r="G47" s="185"/>
      <c r="H47" s="734">
        <v>1003037</v>
      </c>
      <c r="I47" s="626"/>
      <c r="J47" s="626">
        <v>3</v>
      </c>
      <c r="K47" s="626" t="s">
        <v>961</v>
      </c>
      <c r="L47" s="626"/>
      <c r="M47" s="626"/>
      <c r="N47" s="626"/>
      <c r="O47" s="626"/>
      <c r="P47" s="626"/>
      <c r="Q47" s="473"/>
      <c r="S47" s="645"/>
      <c r="T47" s="645"/>
      <c r="U47" s="645"/>
      <c r="V47" s="645"/>
      <c r="W47" s="645"/>
      <c r="X47" s="645"/>
      <c r="Y47" s="645"/>
      <c r="Z47" s="645"/>
      <c r="AA47" s="645"/>
      <c r="AB47" s="645"/>
      <c r="AC47" s="645"/>
    </row>
    <row r="48" spans="1:29" ht="15.75">
      <c r="A48" s="296"/>
      <c r="B48" s="311"/>
      <c r="C48" s="260"/>
      <c r="D48" s="243"/>
      <c r="E48" s="325"/>
      <c r="F48" s="314"/>
      <c r="G48" s="185"/>
      <c r="H48" s="734">
        <v>23545</v>
      </c>
      <c r="I48" s="626"/>
      <c r="J48" s="626">
        <v>4</v>
      </c>
      <c r="K48" s="626" t="s">
        <v>1002</v>
      </c>
      <c r="L48" s="626"/>
      <c r="M48" s="626"/>
      <c r="N48" s="626"/>
      <c r="O48" s="626"/>
      <c r="P48" s="626"/>
      <c r="Q48" s="473"/>
      <c r="S48" s="645"/>
      <c r="T48" s="645"/>
      <c r="U48" s="645"/>
      <c r="V48" s="645"/>
      <c r="W48" s="645"/>
      <c r="X48" s="645"/>
      <c r="Y48" s="645"/>
      <c r="Z48" s="645"/>
      <c r="AA48" s="645"/>
      <c r="AB48" s="645"/>
      <c r="AC48" s="645"/>
    </row>
    <row r="49" spans="1:29" ht="15.75">
      <c r="A49" s="296"/>
      <c r="B49" s="311"/>
      <c r="C49" s="260"/>
      <c r="D49" s="243"/>
      <c r="E49" s="325"/>
      <c r="F49" s="314"/>
      <c r="G49" s="185"/>
      <c r="H49" s="734"/>
      <c r="I49" s="734">
        <v>3029940</v>
      </c>
      <c r="J49" s="626">
        <v>5</v>
      </c>
      <c r="K49" s="626" t="s">
        <v>962</v>
      </c>
      <c r="L49" s="626"/>
      <c r="M49" s="626"/>
      <c r="N49" s="626"/>
      <c r="O49" s="626"/>
      <c r="P49" s="626"/>
      <c r="Q49" s="473"/>
      <c r="S49" s="645"/>
      <c r="T49" s="645"/>
      <c r="U49" s="645"/>
      <c r="V49" s="645"/>
      <c r="W49" s="645"/>
      <c r="X49" s="645"/>
      <c r="Y49" s="645"/>
      <c r="Z49" s="645"/>
      <c r="AA49" s="645"/>
      <c r="AB49" s="645"/>
      <c r="AC49" s="645"/>
    </row>
    <row r="50" spans="1:29" ht="15.75">
      <c r="A50" s="296"/>
      <c r="B50" s="311"/>
      <c r="C50" s="260"/>
      <c r="D50" s="243"/>
      <c r="E50" s="325"/>
      <c r="F50" s="314"/>
      <c r="G50" s="185"/>
      <c r="H50" s="814"/>
      <c r="I50" s="814">
        <f>4850438+860738+782739+538877+487822+476682+453048+1085882</f>
        <v>9536226</v>
      </c>
      <c r="J50" s="626">
        <v>6</v>
      </c>
      <c r="K50" s="626" t="s">
        <v>963</v>
      </c>
      <c r="L50" s="626"/>
      <c r="M50" s="626"/>
      <c r="N50" s="626"/>
      <c r="O50" s="626"/>
      <c r="P50" s="626"/>
      <c r="Q50" s="473"/>
      <c r="S50" s="645"/>
      <c r="T50" s="645"/>
      <c r="U50" s="645"/>
      <c r="V50" s="645"/>
      <c r="W50" s="645"/>
      <c r="X50" s="645"/>
      <c r="Y50" s="645"/>
      <c r="Z50" s="645"/>
      <c r="AA50" s="645"/>
      <c r="AB50" s="645"/>
      <c r="AC50" s="645"/>
    </row>
    <row r="51" spans="1:29" ht="15.75">
      <c r="A51" s="296"/>
      <c r="B51" s="311"/>
      <c r="C51" s="260"/>
      <c r="D51" s="243"/>
      <c r="E51" s="325"/>
      <c r="F51" s="314"/>
      <c r="G51" s="185"/>
      <c r="H51" s="530">
        <f>SUM(H45:H50)</f>
        <v>13115103</v>
      </c>
      <c r="I51" s="530">
        <f>SUM(I49:I50)</f>
        <v>12566166</v>
      </c>
      <c r="J51" s="626"/>
      <c r="K51" s="645"/>
      <c r="L51" s="626"/>
      <c r="M51" s="626"/>
      <c r="N51" s="626"/>
      <c r="O51" s="626"/>
      <c r="P51" s="626"/>
      <c r="Q51" s="473"/>
      <c r="S51" s="645"/>
      <c r="T51" s="645"/>
      <c r="U51" s="645"/>
      <c r="V51" s="645"/>
      <c r="W51" s="645"/>
      <c r="X51" s="645"/>
      <c r="Y51" s="645"/>
      <c r="Z51" s="645"/>
      <c r="AA51" s="645"/>
      <c r="AB51" s="645"/>
      <c r="AC51" s="645"/>
    </row>
    <row r="52" spans="1:29" ht="13.5" thickBot="1">
      <c r="A52" s="765"/>
      <c r="B52" s="984"/>
      <c r="C52" s="984"/>
      <c r="D52" s="985"/>
      <c r="E52" s="984"/>
      <c r="F52" s="770"/>
      <c r="G52" s="378"/>
      <c r="H52" s="531"/>
      <c r="I52" s="378"/>
      <c r="J52" s="378"/>
      <c r="K52" s="378"/>
      <c r="L52" s="378"/>
      <c r="M52" s="378"/>
      <c r="N52" s="378"/>
      <c r="O52" s="378"/>
      <c r="P52" s="378"/>
      <c r="Q52" s="385"/>
      <c r="S52" s="645"/>
      <c r="T52" s="645"/>
      <c r="U52" s="645"/>
      <c r="V52" s="645"/>
      <c r="W52" s="645"/>
      <c r="X52" s="645"/>
      <c r="Y52" s="645"/>
      <c r="Z52" s="645"/>
      <c r="AA52" s="645"/>
      <c r="AB52" s="645"/>
      <c r="AC52" s="645"/>
    </row>
    <row r="53" spans="1:29" ht="21" thickBot="1">
      <c r="A53" s="533" t="s">
        <v>633</v>
      </c>
      <c r="G53" s="183"/>
      <c r="H53" s="183"/>
      <c r="I53" s="183"/>
      <c r="J53" s="183"/>
      <c r="K53" s="183"/>
      <c r="L53" s="183"/>
      <c r="M53" s="183"/>
      <c r="N53" s="183"/>
      <c r="O53" s="183"/>
      <c r="P53" s="183"/>
      <c r="Q53" s="532"/>
      <c r="S53" s="645"/>
      <c r="T53" s="645"/>
      <c r="U53" s="645"/>
      <c r="V53" s="645"/>
      <c r="W53" s="645"/>
      <c r="X53" s="645"/>
      <c r="Y53" s="645"/>
      <c r="Z53" s="645"/>
      <c r="AA53" s="645"/>
      <c r="AB53" s="645"/>
      <c r="AC53" s="645"/>
    </row>
    <row r="54" spans="1:29" ht="61.5" customHeight="1">
      <c r="A54" s="1084" t="s">
        <v>10</v>
      </c>
      <c r="B54" s="1085"/>
      <c r="C54" s="1085"/>
      <c r="D54" s="1085"/>
      <c r="E54" s="1085"/>
      <c r="F54" s="1086"/>
      <c r="G54" s="391" t="str">
        <f>+G41</f>
        <v>Form 1 Amount</v>
      </c>
      <c r="H54" s="822" t="s">
        <v>615</v>
      </c>
      <c r="I54" s="822" t="s">
        <v>540</v>
      </c>
      <c r="J54" s="1087" t="s">
        <v>462</v>
      </c>
      <c r="K54" s="1089"/>
      <c r="L54" s="1089"/>
      <c r="M54" s="1089"/>
      <c r="N54" s="1089"/>
      <c r="O54" s="1089"/>
      <c r="P54" s="1089"/>
      <c r="Q54" s="1120"/>
      <c r="S54" s="645"/>
      <c r="T54" s="645"/>
      <c r="U54" s="645"/>
      <c r="V54" s="645"/>
      <c r="W54" s="645"/>
      <c r="X54" s="645"/>
      <c r="Y54" s="645"/>
      <c r="Z54" s="645"/>
      <c r="AA54" s="645"/>
      <c r="AB54" s="645"/>
      <c r="AC54" s="645"/>
    </row>
    <row r="55" spans="1:29" ht="15.75">
      <c r="A55" s="289"/>
      <c r="B55" s="279" t="str">
        <f>+'Exh F - AA-BL Items'!B15</f>
        <v>Plant Allocation Factors</v>
      </c>
      <c r="C55" s="315"/>
      <c r="D55" s="269"/>
      <c r="E55" s="234"/>
      <c r="F55" s="290"/>
      <c r="G55" s="379"/>
      <c r="H55" s="185"/>
      <c r="I55" s="185"/>
      <c r="J55" s="1080"/>
      <c r="K55" s="1081"/>
      <c r="L55" s="1081"/>
      <c r="M55" s="1081"/>
      <c r="N55" s="1081"/>
      <c r="O55" s="1081"/>
      <c r="P55" s="1081"/>
      <c r="Q55" s="1113"/>
      <c r="S55" s="645"/>
      <c r="T55" s="645"/>
      <c r="U55" s="645"/>
      <c r="V55" s="645"/>
      <c r="W55" s="645"/>
      <c r="X55" s="645"/>
      <c r="Y55" s="645"/>
      <c r="Z55" s="645"/>
      <c r="AA55" s="645"/>
      <c r="AB55" s="645"/>
      <c r="AC55" s="645"/>
    </row>
    <row r="56" spans="1:29" ht="15.75">
      <c r="A56" s="296">
        <f>+'Exh F - AA-BL Items'!A16</f>
        <v>6</v>
      </c>
      <c r="B56" s="269"/>
      <c r="C56" s="260" t="str">
        <f>+'Exh F - AA-BL Items'!C16</f>
        <v>Electric Plant in Service</v>
      </c>
      <c r="D56" s="234"/>
      <c r="E56" s="325">
        <f>+'Exh F - AA-BL Items'!E16</f>
        <v>0</v>
      </c>
      <c r="F56" s="375" t="str">
        <f>+'Exh F - AA-BL Items'!F16</f>
        <v>Attachment 5</v>
      </c>
      <c r="G56" s="528"/>
      <c r="H56" s="426">
        <v>0</v>
      </c>
      <c r="I56" s="516">
        <v>0</v>
      </c>
      <c r="J56" s="1081" t="s">
        <v>37</v>
      </c>
      <c r="K56" s="1081"/>
      <c r="L56" s="1081"/>
      <c r="M56" s="1081"/>
      <c r="N56" s="1081"/>
      <c r="O56" s="1081"/>
      <c r="P56" s="1081"/>
      <c r="Q56" s="1113"/>
      <c r="S56" s="645"/>
      <c r="T56" s="645"/>
      <c r="U56" s="645"/>
      <c r="V56" s="645"/>
      <c r="W56" s="645"/>
      <c r="X56" s="645"/>
      <c r="Y56" s="645"/>
      <c r="Z56" s="645"/>
      <c r="AA56" s="645"/>
      <c r="AB56" s="645"/>
      <c r="AC56" s="645"/>
    </row>
    <row r="57" spans="1:29" ht="15.75" hidden="1" customHeight="1">
      <c r="A57" s="296">
        <f>+'Exh F - AA-BL Items'!A17</f>
        <v>7</v>
      </c>
      <c r="B57" s="269"/>
      <c r="C57" s="260" t="str">
        <f>+'Exh F - AA-BL Items'!C17</f>
        <v>Common Plant In Service - Electric</v>
      </c>
      <c r="D57" s="152"/>
      <c r="E57" s="325" t="str">
        <f>+'Exh F - AA-BL Items'!E17</f>
        <v>(Note A)</v>
      </c>
      <c r="F57" s="375" t="str">
        <f>+'Exh F - AA-BL Items'!F17</f>
        <v>(Line 24)</v>
      </c>
      <c r="G57" s="525">
        <v>467649847</v>
      </c>
      <c r="H57" s="426">
        <v>0</v>
      </c>
      <c r="I57" s="426">
        <v>0</v>
      </c>
      <c r="J57" s="1081" t="s">
        <v>36</v>
      </c>
      <c r="K57" s="1081"/>
      <c r="L57" s="1081"/>
      <c r="M57" s="1081"/>
      <c r="N57" s="1081"/>
      <c r="O57" s="1081"/>
      <c r="P57" s="1081"/>
      <c r="Q57" s="1113"/>
      <c r="S57" s="645"/>
      <c r="T57" s="645"/>
      <c r="U57" s="645"/>
      <c r="V57" s="645"/>
      <c r="W57" s="645"/>
      <c r="X57" s="645"/>
      <c r="Y57" s="645"/>
      <c r="Z57" s="645"/>
      <c r="AA57" s="645"/>
      <c r="AB57" s="645"/>
      <c r="AC57" s="645"/>
    </row>
    <row r="58" spans="1:29" ht="15.75">
      <c r="A58" s="289"/>
      <c r="B58" s="279" t="str">
        <f>+'Exh F - AA-BL Items'!B36</f>
        <v>Plant In Service</v>
      </c>
      <c r="C58" s="315"/>
      <c r="D58" s="152"/>
      <c r="E58" s="256"/>
      <c r="F58" s="297"/>
      <c r="G58" s="529"/>
      <c r="H58" s="185"/>
      <c r="I58" s="185"/>
      <c r="J58" s="1081"/>
      <c r="K58" s="1081"/>
      <c r="L58" s="1081"/>
      <c r="M58" s="1081"/>
      <c r="N58" s="1081"/>
      <c r="O58" s="1081"/>
      <c r="P58" s="1081"/>
      <c r="Q58" s="1113"/>
      <c r="S58" s="645"/>
      <c r="T58" s="645"/>
      <c r="U58" s="645"/>
      <c r="V58" s="645"/>
      <c r="W58" s="645"/>
      <c r="X58" s="645"/>
      <c r="Y58" s="645"/>
      <c r="Z58" s="645"/>
      <c r="AA58" s="645"/>
      <c r="AB58" s="645"/>
      <c r="AC58" s="645"/>
    </row>
    <row r="59" spans="1:29" ht="15.75">
      <c r="A59" s="296">
        <f>+'Exh F - AA-BL Items'!A37</f>
        <v>19</v>
      </c>
      <c r="B59" s="258"/>
      <c r="C59" s="260" t="str">
        <f>+'Exh F - AA-BL Items'!C37</f>
        <v>Transmission Plant In Service</v>
      </c>
      <c r="D59" s="234"/>
      <c r="E59" s="325">
        <f>+'Exh F - AA-BL Items'!E37</f>
        <v>0</v>
      </c>
      <c r="F59" s="375" t="str">
        <f>+'Exh F - AA-BL Items'!F37</f>
        <v>Attachment 5</v>
      </c>
      <c r="G59" s="528"/>
      <c r="H59" s="426">
        <v>0</v>
      </c>
      <c r="I59" s="426">
        <v>0</v>
      </c>
      <c r="J59" s="1081" t="s">
        <v>37</v>
      </c>
      <c r="K59" s="1081"/>
      <c r="L59" s="1081"/>
      <c r="M59" s="1081"/>
      <c r="N59" s="1081"/>
      <c r="O59" s="1081"/>
      <c r="P59" s="1081"/>
      <c r="Q59" s="1113"/>
      <c r="S59" s="645"/>
      <c r="T59" s="645"/>
      <c r="U59" s="645"/>
      <c r="V59" s="645"/>
      <c r="W59" s="645"/>
      <c r="X59" s="645"/>
      <c r="Y59" s="645"/>
      <c r="Z59" s="645"/>
      <c r="AA59" s="645"/>
      <c r="AB59" s="645"/>
      <c r="AC59" s="645"/>
    </row>
    <row r="60" spans="1:29" ht="15.75" hidden="1" customHeight="1">
      <c r="A60" s="296">
        <f>+'Exh F - AA-BL Items'!A38</f>
        <v>21</v>
      </c>
      <c r="B60" s="258"/>
      <c r="C60" s="260" t="str">
        <f>+'Exh F - AA-BL Items'!C38</f>
        <v>New Transmission Plant Additions for Current Calendar Year  (weighted by months in service)</v>
      </c>
      <c r="D60" s="234"/>
      <c r="E60" s="325" t="str">
        <f>+'Exh F - AA-BL Items'!E38</f>
        <v>Attachment 6</v>
      </c>
      <c r="F60" s="375"/>
      <c r="G60" s="427" t="s">
        <v>538</v>
      </c>
      <c r="H60" s="426" t="s">
        <v>538</v>
      </c>
      <c r="I60" s="426" t="s">
        <v>538</v>
      </c>
      <c r="J60" s="1081" t="s">
        <v>537</v>
      </c>
      <c r="K60" s="1081"/>
      <c r="L60" s="1081"/>
      <c r="M60" s="1081"/>
      <c r="N60" s="1081"/>
      <c r="O60" s="1081"/>
      <c r="P60" s="1081"/>
      <c r="Q60" s="1113"/>
      <c r="S60" s="645"/>
      <c r="T60" s="645"/>
      <c r="U60" s="645"/>
      <c r="V60" s="645"/>
      <c r="W60" s="645"/>
      <c r="X60" s="645"/>
      <c r="Y60" s="645"/>
      <c r="Z60" s="645"/>
      <c r="AA60" s="645"/>
      <c r="AB60" s="645"/>
      <c r="AC60" s="645"/>
    </row>
    <row r="61" spans="1:29" ht="15.75" customHeight="1">
      <c r="A61" s="289">
        <f>+'Exh F - AA-BL Items'!A40</f>
        <v>24</v>
      </c>
      <c r="B61" s="269"/>
      <c r="C61" s="315" t="str">
        <f>+'Exh F - AA-BL Items'!C40</f>
        <v>Common Plant (Electric Only)</v>
      </c>
      <c r="D61" s="234"/>
      <c r="E61" s="282" t="str">
        <f>+'Exh F - AA-BL Items'!E40</f>
        <v>(Notes A)</v>
      </c>
      <c r="F61" s="493" t="str">
        <f>+'Exh F - AA-BL Items'!F40</f>
        <v>Attachment 5</v>
      </c>
      <c r="G61" s="528"/>
      <c r="H61" s="426">
        <v>0</v>
      </c>
      <c r="I61" s="426">
        <v>0</v>
      </c>
      <c r="J61" s="1081" t="s">
        <v>85</v>
      </c>
      <c r="K61" s="1081"/>
      <c r="L61" s="1081"/>
      <c r="M61" s="1081"/>
      <c r="N61" s="1081"/>
      <c r="O61" s="1081"/>
      <c r="P61" s="1081"/>
      <c r="Q61" s="1113"/>
      <c r="S61" s="645"/>
      <c r="T61" s="645"/>
      <c r="U61" s="645"/>
      <c r="V61" s="645"/>
      <c r="W61" s="645"/>
      <c r="X61" s="645"/>
      <c r="Y61" s="645"/>
      <c r="Z61" s="645"/>
      <c r="AA61" s="645"/>
      <c r="AB61" s="645"/>
      <c r="AC61" s="645"/>
    </row>
    <row r="62" spans="1:29" ht="15.75" customHeight="1">
      <c r="A62" s="296"/>
      <c r="B62" s="279" t="s">
        <v>223</v>
      </c>
      <c r="C62" s="252"/>
      <c r="D62" s="253"/>
      <c r="E62" s="319"/>
      <c r="F62" s="286"/>
      <c r="G62" s="379"/>
      <c r="H62" s="185"/>
      <c r="I62" s="185"/>
      <c r="J62" s="185"/>
      <c r="K62" s="185"/>
      <c r="L62" s="185"/>
      <c r="M62" s="185"/>
      <c r="N62" s="185"/>
      <c r="O62" s="185"/>
      <c r="P62" s="185"/>
      <c r="Q62" s="377"/>
      <c r="S62" s="645"/>
      <c r="T62" s="645"/>
      <c r="U62" s="645"/>
      <c r="V62" s="645"/>
      <c r="W62" s="645"/>
      <c r="X62" s="645"/>
      <c r="Y62" s="645"/>
      <c r="Z62" s="645"/>
      <c r="AA62" s="645"/>
      <c r="AB62" s="645"/>
      <c r="AC62" s="645"/>
    </row>
    <row r="63" spans="1:29" ht="16.5" customHeight="1" thickBot="1">
      <c r="A63" s="349">
        <f>+'Exh F - AA-BL Items'!A52</f>
        <v>30</v>
      </c>
      <c r="B63" s="350"/>
      <c r="C63" s="361" t="str">
        <f>+'Exh F - AA-BL Items'!C52</f>
        <v>Transmission Accumulated Depreciation</v>
      </c>
      <c r="D63" s="624"/>
      <c r="E63" s="362">
        <f>+'Exh F - AA-BL Items'!E52</f>
        <v>0</v>
      </c>
      <c r="F63" s="376" t="str">
        <f>+'Exh F - AA-BL Items'!F52</f>
        <v>Attachment 5</v>
      </c>
      <c r="G63" s="527"/>
      <c r="H63" s="433">
        <v>0</v>
      </c>
      <c r="I63" s="433">
        <v>0</v>
      </c>
      <c r="J63" s="1083" t="s">
        <v>37</v>
      </c>
      <c r="K63" s="1083"/>
      <c r="L63" s="1083"/>
      <c r="M63" s="1083"/>
      <c r="N63" s="1083"/>
      <c r="O63" s="1083"/>
      <c r="P63" s="1083"/>
      <c r="Q63" s="1119"/>
      <c r="S63" s="645"/>
      <c r="T63" s="645"/>
      <c r="U63" s="645"/>
      <c r="V63" s="645"/>
      <c r="W63" s="645"/>
      <c r="X63" s="645"/>
      <c r="Y63" s="645"/>
      <c r="Z63" s="645"/>
      <c r="AA63" s="645"/>
      <c r="AB63" s="645"/>
      <c r="AC63" s="645"/>
    </row>
    <row r="64" spans="1:29" ht="12.75" customHeight="1">
      <c r="G64" s="183"/>
      <c r="H64" s="183"/>
      <c r="I64" s="183"/>
      <c r="J64" s="183"/>
      <c r="K64" s="183"/>
      <c r="L64" s="183"/>
      <c r="M64" s="183"/>
      <c r="N64" s="183"/>
      <c r="O64" s="183"/>
      <c r="P64" s="183"/>
      <c r="Q64" s="183"/>
      <c r="S64" s="645"/>
      <c r="T64" s="645"/>
      <c r="U64" s="645"/>
      <c r="V64" s="645"/>
      <c r="W64" s="645"/>
      <c r="X64" s="645"/>
      <c r="Y64" s="645"/>
      <c r="Z64" s="645"/>
      <c r="AA64" s="645"/>
      <c r="AB64" s="645"/>
      <c r="AC64" s="645"/>
    </row>
    <row r="65" spans="1:29" ht="22.5" customHeight="1" thickBot="1">
      <c r="A65" s="359" t="s">
        <v>310</v>
      </c>
      <c r="G65" s="183"/>
      <c r="H65" s="183"/>
      <c r="I65" s="183"/>
      <c r="J65" s="183"/>
      <c r="K65" s="183"/>
      <c r="L65" s="183"/>
      <c r="M65" s="183"/>
      <c r="N65" s="183"/>
      <c r="O65" s="183"/>
      <c r="P65" s="183"/>
      <c r="Q65" s="183"/>
      <c r="S65" s="645"/>
      <c r="T65" s="645"/>
      <c r="U65" s="645"/>
      <c r="V65" s="645"/>
      <c r="W65" s="645"/>
      <c r="X65" s="645"/>
      <c r="Y65" s="645"/>
      <c r="Z65" s="645"/>
      <c r="AA65" s="645"/>
      <c r="AB65" s="645"/>
      <c r="AC65" s="645"/>
    </row>
    <row r="66" spans="1:29" ht="26.25">
      <c r="A66" s="1084" t="s">
        <v>10</v>
      </c>
      <c r="B66" s="1085"/>
      <c r="C66" s="1085"/>
      <c r="D66" s="1085"/>
      <c r="E66" s="1085"/>
      <c r="F66" s="1086"/>
      <c r="G66" s="1056" t="s">
        <v>535</v>
      </c>
      <c r="H66" s="1056" t="s">
        <v>539</v>
      </c>
      <c r="I66" s="1056" t="s">
        <v>614</v>
      </c>
      <c r="J66" s="1087" t="s">
        <v>462</v>
      </c>
      <c r="K66" s="1089"/>
      <c r="L66" s="1089"/>
      <c r="M66" s="1089"/>
      <c r="N66" s="1089"/>
      <c r="O66" s="1089"/>
      <c r="P66" s="1089"/>
      <c r="Q66" s="1120"/>
      <c r="S66" s="645"/>
      <c r="T66" s="645"/>
      <c r="U66" s="645"/>
      <c r="V66" s="645"/>
      <c r="W66" s="645"/>
      <c r="X66" s="645"/>
      <c r="Y66" s="645"/>
      <c r="Z66" s="645"/>
      <c r="AA66" s="645"/>
      <c r="AB66" s="645"/>
      <c r="AC66" s="645"/>
    </row>
    <row r="67" spans="1:29" ht="15.75">
      <c r="A67" s="296"/>
      <c r="B67" s="279"/>
      <c r="C67" s="243"/>
      <c r="D67" s="243"/>
      <c r="E67" s="295"/>
      <c r="F67" s="321"/>
      <c r="G67" s="185"/>
      <c r="H67" s="185"/>
      <c r="I67" s="185"/>
      <c r="J67" s="185"/>
      <c r="K67" s="185"/>
      <c r="L67" s="185"/>
      <c r="M67" s="185"/>
      <c r="N67" s="185"/>
      <c r="O67" s="185"/>
      <c r="P67" s="185"/>
      <c r="Q67" s="377"/>
      <c r="S67" s="645"/>
      <c r="T67" s="645"/>
      <c r="U67" s="645"/>
      <c r="V67" s="645"/>
      <c r="W67" s="645"/>
      <c r="X67" s="645"/>
      <c r="Y67" s="645"/>
      <c r="Z67" s="645"/>
      <c r="AA67" s="645"/>
      <c r="AB67" s="645"/>
      <c r="AC67" s="645"/>
    </row>
    <row r="68" spans="1:29" ht="12.75" customHeight="1">
      <c r="A68" s="296">
        <v>65</v>
      </c>
      <c r="B68" s="277"/>
      <c r="C68" s="254" t="s">
        <v>1015</v>
      </c>
      <c r="D68" s="295"/>
      <c r="E68" s="325" t="s">
        <v>344</v>
      </c>
      <c r="F68" s="322" t="s">
        <v>1016</v>
      </c>
      <c r="G68" s="516">
        <v>15181104</v>
      </c>
      <c r="H68" s="1057">
        <v>0</v>
      </c>
      <c r="I68" s="530">
        <f>+G68-H68</f>
        <v>15181104</v>
      </c>
      <c r="J68" s="1140" t="s">
        <v>1017</v>
      </c>
      <c r="K68" s="1140"/>
      <c r="L68" s="1140"/>
      <c r="M68" s="1140"/>
      <c r="N68" s="1140"/>
      <c r="O68" s="1140"/>
      <c r="P68" s="1140"/>
      <c r="Q68" s="1141"/>
      <c r="S68" s="645"/>
      <c r="T68" s="645"/>
      <c r="U68" s="645"/>
      <c r="V68" s="645"/>
      <c r="W68" s="645"/>
      <c r="X68" s="645"/>
      <c r="Y68" s="645"/>
      <c r="Z68" s="645"/>
      <c r="AA68" s="645"/>
      <c r="AB68" s="645"/>
      <c r="AC68" s="645"/>
    </row>
    <row r="69" spans="1:29" ht="12.75" customHeight="1">
      <c r="A69" s="296"/>
      <c r="B69" s="279"/>
      <c r="C69" s="233"/>
      <c r="D69" s="243"/>
      <c r="E69" s="251"/>
      <c r="F69" s="293"/>
      <c r="G69" s="229"/>
      <c r="H69" s="229"/>
      <c r="I69" s="229"/>
      <c r="J69" s="185"/>
      <c r="K69" s="185"/>
      <c r="L69" s="185"/>
      <c r="M69" s="185"/>
      <c r="N69" s="185"/>
      <c r="O69" s="185"/>
      <c r="P69" s="185"/>
      <c r="Q69" s="377"/>
      <c r="S69" s="645"/>
      <c r="T69" s="645"/>
      <c r="U69" s="645"/>
      <c r="V69" s="645"/>
      <c r="W69" s="645"/>
      <c r="X69" s="645"/>
      <c r="Y69" s="645"/>
      <c r="Z69" s="645"/>
      <c r="AA69" s="645"/>
      <c r="AB69" s="645"/>
      <c r="AC69" s="645"/>
    </row>
    <row r="70" spans="1:29" ht="12.75" customHeight="1" thickBot="1">
      <c r="A70" s="349"/>
      <c r="B70" s="360"/>
      <c r="C70" s="361"/>
      <c r="D70" s="365"/>
      <c r="E70" s="357"/>
      <c r="F70" s="363"/>
      <c r="G70" s="534"/>
      <c r="H70" s="519"/>
      <c r="I70" s="517"/>
      <c r="J70" s="1083"/>
      <c r="K70" s="1083"/>
      <c r="L70" s="1083"/>
      <c r="M70" s="1083"/>
      <c r="N70" s="1083"/>
      <c r="O70" s="1083"/>
      <c r="P70" s="1083"/>
      <c r="Q70" s="1119"/>
      <c r="S70" s="645"/>
      <c r="T70" s="645"/>
      <c r="U70" s="645"/>
      <c r="V70" s="645"/>
      <c r="W70" s="645"/>
      <c r="X70" s="645"/>
      <c r="Y70" s="645"/>
      <c r="Z70" s="645"/>
      <c r="AA70" s="645"/>
      <c r="AB70" s="645"/>
      <c r="AC70" s="645"/>
    </row>
    <row r="71" spans="1:29" ht="12.75" customHeight="1">
      <c r="G71" s="183"/>
      <c r="H71" s="183"/>
      <c r="I71" s="183"/>
      <c r="J71" s="183"/>
      <c r="K71" s="183"/>
      <c r="L71" s="183"/>
      <c r="M71" s="183"/>
      <c r="N71" s="183"/>
      <c r="O71" s="183"/>
      <c r="P71" s="183"/>
      <c r="Q71" s="183"/>
      <c r="S71" s="645"/>
      <c r="T71" s="645"/>
      <c r="U71" s="645"/>
      <c r="V71" s="645"/>
      <c r="W71" s="645"/>
      <c r="X71" s="645"/>
      <c r="Y71" s="645"/>
      <c r="Z71" s="645"/>
      <c r="AA71" s="645"/>
      <c r="AB71" s="645"/>
      <c r="AC71" s="645"/>
    </row>
    <row r="72" spans="1:29" ht="12.75" customHeight="1">
      <c r="G72" s="183"/>
      <c r="H72" s="183"/>
      <c r="I72" s="183"/>
      <c r="J72" s="183"/>
      <c r="K72" s="183"/>
      <c r="L72" s="183"/>
      <c r="M72" s="183"/>
      <c r="N72" s="183"/>
      <c r="O72" s="183"/>
      <c r="P72" s="183"/>
      <c r="Q72" s="183"/>
      <c r="S72" s="645"/>
      <c r="T72" s="645"/>
      <c r="U72" s="645"/>
      <c r="V72" s="645"/>
      <c r="W72" s="645"/>
      <c r="X72" s="645"/>
      <c r="Y72" s="645"/>
      <c r="Z72" s="645"/>
      <c r="AA72" s="645"/>
      <c r="AB72" s="645"/>
      <c r="AC72" s="645"/>
    </row>
    <row r="73" spans="1:29" ht="12.75" customHeight="1">
      <c r="G73" s="183"/>
      <c r="H73" s="183"/>
      <c r="I73" s="183"/>
      <c r="J73" s="183"/>
      <c r="K73" s="183"/>
      <c r="L73" s="183"/>
      <c r="M73" s="183"/>
      <c r="N73" s="183"/>
      <c r="O73" s="183"/>
      <c r="P73" s="183"/>
      <c r="Q73" s="183"/>
      <c r="S73" s="645"/>
      <c r="T73" s="645"/>
      <c r="U73" s="645"/>
      <c r="V73" s="645"/>
      <c r="W73" s="645"/>
      <c r="X73" s="645"/>
      <c r="Y73" s="645"/>
      <c r="Z73" s="645"/>
      <c r="AA73" s="645"/>
      <c r="AB73" s="645"/>
      <c r="AC73" s="645"/>
    </row>
    <row r="74" spans="1:29" ht="12.75" customHeight="1">
      <c r="G74" s="183"/>
      <c r="H74" s="183"/>
      <c r="I74" s="183"/>
      <c r="J74" s="183"/>
      <c r="K74" s="183"/>
      <c r="L74" s="183"/>
      <c r="M74" s="183"/>
      <c r="N74" s="183"/>
      <c r="O74" s="183"/>
      <c r="P74" s="183"/>
      <c r="Q74" s="183"/>
      <c r="S74" s="645"/>
      <c r="T74" s="645"/>
      <c r="U74" s="645"/>
      <c r="V74" s="645"/>
      <c r="W74" s="645"/>
      <c r="X74" s="645"/>
      <c r="Y74" s="645"/>
      <c r="Z74" s="645"/>
      <c r="AA74" s="645"/>
      <c r="AB74" s="645"/>
      <c r="AC74" s="645"/>
    </row>
    <row r="75" spans="1:29" ht="21.2" customHeight="1" thickBot="1">
      <c r="A75" s="359" t="s">
        <v>623</v>
      </c>
      <c r="G75" s="183"/>
      <c r="H75" s="183"/>
      <c r="I75" s="183"/>
      <c r="J75" s="183"/>
      <c r="K75" s="183"/>
      <c r="L75" s="183"/>
      <c r="M75" s="183"/>
      <c r="N75" s="183"/>
      <c r="O75" s="183"/>
      <c r="P75" s="183"/>
      <c r="Q75" s="183"/>
      <c r="S75" s="645"/>
      <c r="T75" s="645"/>
      <c r="U75" s="645"/>
      <c r="V75" s="645"/>
      <c r="W75" s="645"/>
      <c r="X75" s="645"/>
      <c r="Y75" s="645"/>
      <c r="Z75" s="645"/>
      <c r="AA75" s="645"/>
      <c r="AB75" s="645"/>
      <c r="AC75" s="645"/>
    </row>
    <row r="76" spans="1:29" ht="18" customHeight="1">
      <c r="A76" s="1084" t="s">
        <v>10</v>
      </c>
      <c r="B76" s="1085"/>
      <c r="C76" s="1085"/>
      <c r="D76" s="1085"/>
      <c r="E76" s="1085"/>
      <c r="F76" s="1086"/>
      <c r="G76" s="822" t="str">
        <f>+G54</f>
        <v>Form 1 Amount</v>
      </c>
      <c r="H76" s="822" t="s">
        <v>521</v>
      </c>
      <c r="I76" s="822"/>
      <c r="J76" s="1087" t="s">
        <v>462</v>
      </c>
      <c r="K76" s="1089"/>
      <c r="L76" s="1089"/>
      <c r="M76" s="1089"/>
      <c r="N76" s="1089"/>
      <c r="O76" s="1089"/>
      <c r="P76" s="1089"/>
      <c r="Q76" s="1120"/>
      <c r="S76" s="645"/>
      <c r="T76" s="645"/>
      <c r="U76" s="645"/>
      <c r="V76" s="645"/>
      <c r="W76" s="645"/>
      <c r="X76" s="645"/>
      <c r="Y76" s="645"/>
      <c r="Z76" s="645"/>
      <c r="AA76" s="645"/>
      <c r="AB76" s="645"/>
      <c r="AC76" s="645"/>
    </row>
    <row r="77" spans="1:29" ht="15.75" customHeight="1">
      <c r="A77" s="296"/>
      <c r="B77" s="279" t="s">
        <v>208</v>
      </c>
      <c r="C77" s="243"/>
      <c r="D77" s="243"/>
      <c r="E77" s="295"/>
      <c r="F77" s="321"/>
      <c r="G77" s="185"/>
      <c r="H77" s="185"/>
      <c r="I77" s="185"/>
      <c r="J77" s="1080"/>
      <c r="K77" s="1081"/>
      <c r="L77" s="1081"/>
      <c r="M77" s="1081"/>
      <c r="N77" s="1081"/>
      <c r="O77" s="1081"/>
      <c r="P77" s="1081"/>
      <c r="Q77" s="1113"/>
      <c r="S77" s="645"/>
      <c r="T77" s="645"/>
      <c r="U77" s="645"/>
      <c r="V77" s="645"/>
      <c r="W77" s="645"/>
      <c r="X77" s="645"/>
      <c r="Y77" s="645"/>
      <c r="Z77" s="645"/>
      <c r="AA77" s="645"/>
      <c r="AB77" s="645"/>
      <c r="AC77" s="645"/>
    </row>
    <row r="78" spans="1:29" ht="16.5" customHeight="1" thickBot="1">
      <c r="A78" s="349">
        <v>72</v>
      </c>
      <c r="B78" s="354"/>
      <c r="C78" s="355" t="str">
        <f>'Exh F - AA-BL Items'!C116</f>
        <v xml:space="preserve">    Less EPRI Dues</v>
      </c>
      <c r="D78" s="624"/>
      <c r="E78" s="368" t="str">
        <f>'Exh F - AA-BL Items'!E116</f>
        <v>(Note D)</v>
      </c>
      <c r="F78" s="366" t="str">
        <f>'Exh F - AA-BL Items'!F116</f>
        <v>p352-353</v>
      </c>
      <c r="G78" s="527">
        <v>386756</v>
      </c>
      <c r="H78" s="519">
        <f>+G78</f>
        <v>386756</v>
      </c>
      <c r="I78" s="433"/>
      <c r="J78" s="1083" t="s">
        <v>38</v>
      </c>
      <c r="K78" s="1083"/>
      <c r="L78" s="1083"/>
      <c r="M78" s="1083"/>
      <c r="N78" s="1083"/>
      <c r="O78" s="1083"/>
      <c r="P78" s="1083"/>
      <c r="Q78" s="1119"/>
      <c r="S78" s="645"/>
      <c r="T78" s="645"/>
      <c r="U78" s="645"/>
      <c r="V78" s="645"/>
      <c r="W78" s="645"/>
      <c r="X78" s="645"/>
      <c r="Y78" s="645"/>
      <c r="Z78" s="645"/>
      <c r="AA78" s="645"/>
      <c r="AB78" s="645"/>
      <c r="AC78" s="645"/>
    </row>
    <row r="79" spans="1:29" ht="20.100000000000001" customHeight="1">
      <c r="A79" s="419"/>
      <c r="B79" s="258"/>
      <c r="D79" s="152"/>
      <c r="E79" s="153"/>
      <c r="F79" s="154"/>
      <c r="H79" s="183"/>
      <c r="I79" s="183"/>
      <c r="J79" s="183"/>
      <c r="K79" s="183"/>
      <c r="L79" s="183"/>
      <c r="M79" s="183"/>
      <c r="N79" s="183"/>
      <c r="O79" s="183"/>
      <c r="P79" s="183"/>
      <c r="Q79" s="506"/>
      <c r="S79" s="645"/>
      <c r="T79" s="645"/>
      <c r="U79" s="645"/>
      <c r="V79" s="645"/>
      <c r="W79" s="645"/>
      <c r="X79" s="645"/>
      <c r="Y79" s="645"/>
      <c r="Z79" s="645"/>
      <c r="AA79" s="645"/>
      <c r="AB79" s="645"/>
      <c r="AC79" s="645"/>
    </row>
    <row r="80" spans="1:29" ht="21.2" customHeight="1" thickBot="1">
      <c r="A80" s="359" t="s">
        <v>262</v>
      </c>
      <c r="G80" s="183"/>
      <c r="H80" s="183"/>
      <c r="I80" s="183"/>
      <c r="J80" s="183"/>
      <c r="K80" s="183"/>
      <c r="L80" s="183"/>
      <c r="M80" s="183"/>
      <c r="N80" s="183"/>
      <c r="O80" s="183"/>
      <c r="P80" s="183"/>
      <c r="Q80" s="183"/>
      <c r="S80" s="645"/>
      <c r="T80" s="645"/>
      <c r="U80" s="645"/>
      <c r="V80" s="645"/>
      <c r="W80" s="645"/>
      <c r="X80" s="645"/>
      <c r="Y80" s="645"/>
      <c r="Z80" s="645"/>
      <c r="AA80" s="645"/>
      <c r="AB80" s="645"/>
      <c r="AC80" s="645"/>
    </row>
    <row r="81" spans="1:29" ht="30.2" customHeight="1">
      <c r="A81" s="1084" t="s">
        <v>10</v>
      </c>
      <c r="B81" s="1085"/>
      <c r="C81" s="1085"/>
      <c r="D81" s="1085"/>
      <c r="E81" s="1085"/>
      <c r="F81" s="1086"/>
      <c r="G81" s="822" t="str">
        <f>+G76</f>
        <v>Form 1 Amount</v>
      </c>
      <c r="H81" s="822" t="s">
        <v>263</v>
      </c>
      <c r="I81" s="822" t="s">
        <v>264</v>
      </c>
      <c r="J81" s="1087" t="s">
        <v>462</v>
      </c>
      <c r="K81" s="1089"/>
      <c r="L81" s="1089"/>
      <c r="M81" s="1089"/>
      <c r="N81" s="1089"/>
      <c r="O81" s="1089"/>
      <c r="P81" s="1089"/>
      <c r="Q81" s="1120"/>
      <c r="S81" s="645"/>
      <c r="T81" s="645"/>
      <c r="U81" s="645"/>
      <c r="V81" s="645"/>
      <c r="W81" s="645"/>
      <c r="X81" s="645"/>
      <c r="Y81" s="645"/>
      <c r="Z81" s="645"/>
      <c r="AA81" s="645"/>
      <c r="AB81" s="645"/>
      <c r="AC81" s="645"/>
    </row>
    <row r="82" spans="1:29" ht="15.75" customHeight="1">
      <c r="A82" s="296"/>
      <c r="B82" s="279" t="s">
        <v>208</v>
      </c>
      <c r="C82" s="243"/>
      <c r="D82" s="243"/>
      <c r="E82" s="295"/>
      <c r="F82" s="321"/>
      <c r="G82" s="185"/>
      <c r="H82" s="185"/>
      <c r="I82" s="185"/>
      <c r="J82" s="1080"/>
      <c r="K82" s="1081"/>
      <c r="L82" s="1081"/>
      <c r="M82" s="1081"/>
      <c r="N82" s="1081"/>
      <c r="O82" s="1081"/>
      <c r="P82" s="1081"/>
      <c r="Q82" s="1113"/>
      <c r="S82" s="645"/>
      <c r="T82" s="645"/>
      <c r="U82" s="1117"/>
      <c r="V82" s="645"/>
      <c r="W82" s="645"/>
      <c r="X82" s="645"/>
      <c r="Y82" s="645"/>
      <c r="Z82" s="645"/>
      <c r="AA82" s="645"/>
      <c r="AB82" s="645"/>
      <c r="AC82" s="645"/>
    </row>
    <row r="83" spans="1:29" ht="31.7" customHeight="1" thickBot="1">
      <c r="A83" s="349">
        <v>68</v>
      </c>
      <c r="B83" s="354"/>
      <c r="C83" s="355" t="str">
        <f>+'ATT H-2A'!C123</f>
        <v>Total A&amp;G</v>
      </c>
      <c r="D83" s="624"/>
      <c r="E83" s="368">
        <f>+'ATT H-2A'!E123</f>
        <v>0</v>
      </c>
      <c r="F83" s="366" t="s">
        <v>923</v>
      </c>
      <c r="G83" s="737">
        <v>190296554</v>
      </c>
      <c r="H83" s="738">
        <v>4145766.46</v>
      </c>
      <c r="I83" s="739">
        <f>+G83-H83</f>
        <v>186150787.53999999</v>
      </c>
      <c r="J83" s="1121" t="s">
        <v>1003</v>
      </c>
      <c r="K83" s="1121"/>
      <c r="L83" s="1121"/>
      <c r="M83" s="1121"/>
      <c r="N83" s="1121"/>
      <c r="O83" s="1121"/>
      <c r="P83" s="1121"/>
      <c r="Q83" s="1122"/>
      <c r="S83" s="810"/>
      <c r="T83" s="810"/>
      <c r="U83" s="1118"/>
      <c r="V83" s="645"/>
      <c r="W83" s="645"/>
      <c r="X83" s="645"/>
      <c r="Y83" s="645"/>
      <c r="Z83" s="645"/>
      <c r="AA83" s="645"/>
      <c r="AB83" s="645"/>
      <c r="AC83" s="645"/>
    </row>
    <row r="84" spans="1:29">
      <c r="G84" s="183"/>
      <c r="H84" s="183"/>
      <c r="I84" s="183"/>
      <c r="J84" s="183"/>
      <c r="K84" s="183"/>
      <c r="L84" s="183"/>
      <c r="M84" s="183"/>
      <c r="N84" s="183"/>
      <c r="O84" s="183"/>
      <c r="P84" s="183"/>
      <c r="Q84" s="183"/>
      <c r="S84" s="645"/>
      <c r="T84" s="645"/>
      <c r="U84" s="1118"/>
      <c r="V84" s="645"/>
      <c r="W84" s="645"/>
      <c r="X84" s="645"/>
      <c r="Y84" s="645"/>
      <c r="Z84" s="645"/>
      <c r="AA84" s="645"/>
      <c r="AB84" s="645"/>
      <c r="AC84" s="645"/>
    </row>
    <row r="85" spans="1:29" ht="21" thickBot="1">
      <c r="A85" s="359" t="s">
        <v>624</v>
      </c>
      <c r="G85" s="183"/>
      <c r="H85" s="183"/>
      <c r="I85" s="183"/>
      <c r="J85" s="183"/>
      <c r="K85" s="183"/>
      <c r="L85" s="183"/>
      <c r="M85" s="183"/>
      <c r="N85" s="183"/>
      <c r="O85" s="183"/>
      <c r="P85" s="183"/>
      <c r="Q85" s="183"/>
      <c r="S85" s="645"/>
      <c r="T85" s="645"/>
      <c r="U85" s="1118"/>
      <c r="V85" s="645"/>
      <c r="W85" s="645"/>
      <c r="X85" s="645"/>
      <c r="Y85" s="645"/>
      <c r="Z85" s="645"/>
      <c r="AA85" s="645"/>
      <c r="AB85" s="645"/>
      <c r="AC85" s="645"/>
    </row>
    <row r="86" spans="1:29" ht="26.25">
      <c r="A86" s="1084" t="s">
        <v>10</v>
      </c>
      <c r="B86" s="1085"/>
      <c r="C86" s="1085"/>
      <c r="D86" s="1085"/>
      <c r="E86" s="1085"/>
      <c r="F86" s="1086"/>
      <c r="G86" s="822" t="s">
        <v>535</v>
      </c>
      <c r="H86" s="822" t="s">
        <v>539</v>
      </c>
      <c r="I86" s="822" t="s">
        <v>614</v>
      </c>
      <c r="J86" s="1087" t="s">
        <v>462</v>
      </c>
      <c r="K86" s="1089"/>
      <c r="L86" s="1089"/>
      <c r="M86" s="1089"/>
      <c r="N86" s="1089"/>
      <c r="O86" s="1089"/>
      <c r="P86" s="1089"/>
      <c r="Q86" s="1120"/>
      <c r="S86" s="645"/>
      <c r="T86" s="645"/>
      <c r="U86" s="1118"/>
      <c r="V86" s="645"/>
      <c r="W86" s="645"/>
      <c r="X86" s="645"/>
      <c r="Y86" s="645"/>
      <c r="Z86" s="645"/>
      <c r="AA86" s="645"/>
      <c r="AB86" s="645"/>
      <c r="AC86" s="645"/>
    </row>
    <row r="87" spans="1:29" ht="15.75">
      <c r="A87" s="296"/>
      <c r="B87" s="279" t="str">
        <f>'Exh F - AA-BL Items'!B110</f>
        <v>Allocated General &amp; Common Expenses</v>
      </c>
      <c r="C87" s="243"/>
      <c r="D87" s="243"/>
      <c r="E87" s="295"/>
      <c r="F87" s="321"/>
      <c r="G87" s="185"/>
      <c r="H87" s="185"/>
      <c r="I87" s="185"/>
      <c r="J87" s="185"/>
      <c r="K87" s="185"/>
      <c r="L87" s="185"/>
      <c r="M87" s="185"/>
      <c r="N87" s="185"/>
      <c r="O87" s="185"/>
      <c r="P87" s="185"/>
      <c r="Q87" s="377"/>
      <c r="S87" s="645"/>
      <c r="T87" s="645"/>
      <c r="U87" s="1118"/>
      <c r="V87" s="645"/>
      <c r="W87" s="645"/>
      <c r="X87" s="645"/>
      <c r="Y87" s="645"/>
      <c r="Z87" s="645"/>
      <c r="AA87" s="645"/>
      <c r="AB87" s="645"/>
      <c r="AC87" s="645"/>
    </row>
    <row r="88" spans="1:29" ht="15.75">
      <c r="A88" s="296">
        <v>70</v>
      </c>
      <c r="B88" s="277"/>
      <c r="C88" s="254" t="str">
        <f>'Exh F - AA-BL Items'!C114</f>
        <v xml:space="preserve">    Less Regulatory Commission Exp Account 928</v>
      </c>
      <c r="D88" s="295"/>
      <c r="E88" s="325" t="str">
        <f>'Exh F - AA-BL Items'!E114</f>
        <v>(Note E)</v>
      </c>
      <c r="F88" s="322" t="str">
        <f>'Exh F - AA-BL Items'!F114</f>
        <v>p323.189.b</v>
      </c>
      <c r="G88" s="516">
        <v>250956</v>
      </c>
      <c r="H88" s="416"/>
      <c r="I88" s="416"/>
      <c r="J88" s="417"/>
      <c r="K88" s="417"/>
      <c r="L88" s="417"/>
      <c r="M88" s="417"/>
      <c r="N88" s="417"/>
      <c r="O88" s="417"/>
      <c r="P88" s="417"/>
      <c r="Q88" s="418"/>
      <c r="S88" s="645"/>
      <c r="T88" s="645"/>
      <c r="U88" s="1118"/>
      <c r="V88" s="645"/>
      <c r="W88" s="645"/>
      <c r="X88" s="645"/>
      <c r="Y88" s="645"/>
      <c r="Z88" s="645"/>
      <c r="AA88" s="645"/>
      <c r="AB88" s="645"/>
      <c r="AC88" s="645"/>
    </row>
    <row r="89" spans="1:29" ht="15.75">
      <c r="A89" s="296"/>
      <c r="B89" s="279" t="str">
        <f>'Exh F - AA-BL Items'!B121</f>
        <v>Directly Assigned A&amp;G</v>
      </c>
      <c r="C89" s="233"/>
      <c r="D89" s="243"/>
      <c r="E89" s="251"/>
      <c r="F89" s="293"/>
      <c r="G89" s="229"/>
      <c r="H89" s="229"/>
      <c r="I89" s="229"/>
      <c r="J89" s="185"/>
      <c r="K89" s="185"/>
      <c r="L89" s="185"/>
      <c r="M89" s="185"/>
      <c r="N89" s="185"/>
      <c r="O89" s="185"/>
      <c r="P89" s="185"/>
      <c r="Q89" s="377"/>
      <c r="S89" s="645"/>
      <c r="T89" s="645"/>
      <c r="U89" s="1118"/>
      <c r="V89" s="645"/>
      <c r="W89" s="645"/>
      <c r="X89" s="645"/>
      <c r="Y89" s="645"/>
      <c r="Z89" s="645"/>
      <c r="AA89" s="645"/>
      <c r="AB89" s="645"/>
      <c r="AC89" s="645"/>
    </row>
    <row r="90" spans="1:29" ht="16.5" thickBot="1">
      <c r="A90" s="349">
        <v>76</v>
      </c>
      <c r="B90" s="360"/>
      <c r="C90" s="361" t="str">
        <f>'Exh F - AA-BL Items'!C122</f>
        <v>Regulatory Commission Exp Account 928</v>
      </c>
      <c r="D90" s="365"/>
      <c r="E90" s="357" t="str">
        <f>'Exh F - AA-BL Items'!E122</f>
        <v>(Note G)</v>
      </c>
      <c r="F90" s="363" t="str">
        <f>'Exh F - AA-BL Items'!F122</f>
        <v>p323.189b</v>
      </c>
      <c r="G90" s="534"/>
      <c r="H90" s="519">
        <v>19807.25</v>
      </c>
      <c r="I90" s="517">
        <f>+G88-H90</f>
        <v>231148.75</v>
      </c>
      <c r="J90" s="1083" t="s">
        <v>237</v>
      </c>
      <c r="K90" s="1083"/>
      <c r="L90" s="1083"/>
      <c r="M90" s="1083"/>
      <c r="N90" s="1083"/>
      <c r="O90" s="1083"/>
      <c r="P90" s="1083"/>
      <c r="Q90" s="1119"/>
      <c r="S90" s="645"/>
      <c r="T90" s="645"/>
      <c r="U90" s="1118"/>
      <c r="V90" s="645"/>
      <c r="W90" s="645"/>
      <c r="X90" s="645"/>
      <c r="Y90" s="645"/>
      <c r="Z90" s="645"/>
      <c r="AA90" s="645"/>
      <c r="AB90" s="645"/>
      <c r="AC90" s="645"/>
    </row>
    <row r="91" spans="1:29">
      <c r="G91" s="183"/>
      <c r="H91" s="183"/>
      <c r="I91" s="183"/>
      <c r="J91" s="183"/>
      <c r="K91" s="183"/>
      <c r="L91" s="183"/>
      <c r="M91" s="183"/>
      <c r="N91" s="183"/>
      <c r="O91" s="183"/>
      <c r="P91" s="183"/>
      <c r="Q91" s="183"/>
      <c r="S91" s="645"/>
      <c r="T91" s="645"/>
      <c r="U91" s="1118"/>
      <c r="V91" s="645"/>
      <c r="W91" s="645"/>
      <c r="X91" s="645"/>
      <c r="Y91" s="645"/>
      <c r="Z91" s="645"/>
      <c r="AA91" s="645"/>
      <c r="AB91" s="645"/>
      <c r="AC91" s="645"/>
    </row>
    <row r="92" spans="1:29">
      <c r="G92" s="183"/>
      <c r="H92" s="183"/>
      <c r="I92" s="183"/>
      <c r="J92" s="183"/>
      <c r="K92" s="183"/>
      <c r="L92" s="183"/>
      <c r="M92" s="183"/>
      <c r="N92" s="183"/>
      <c r="O92" s="183"/>
      <c r="P92" s="183"/>
      <c r="Q92" s="183"/>
      <c r="S92" s="645"/>
      <c r="T92" s="645"/>
      <c r="U92" s="1118"/>
      <c r="V92" s="645"/>
      <c r="W92" s="645"/>
      <c r="X92" s="645"/>
      <c r="Y92" s="645"/>
      <c r="Z92" s="645"/>
      <c r="AA92" s="645"/>
      <c r="AB92" s="645"/>
      <c r="AC92" s="645"/>
    </row>
    <row r="93" spans="1:29" ht="21" thickBot="1">
      <c r="A93" s="359" t="s">
        <v>625</v>
      </c>
      <c r="G93" s="183"/>
      <c r="H93" s="183"/>
      <c r="I93" s="183"/>
      <c r="J93" s="183"/>
      <c r="K93" s="183"/>
      <c r="L93" s="183"/>
      <c r="M93" s="183"/>
      <c r="N93" s="183"/>
      <c r="O93" s="183"/>
      <c r="P93" s="183"/>
      <c r="Q93" s="183"/>
      <c r="S93" s="645"/>
      <c r="T93" s="645"/>
      <c r="U93" s="1118"/>
      <c r="V93" s="645"/>
      <c r="W93" s="645"/>
      <c r="X93" s="645"/>
      <c r="Y93" s="645"/>
      <c r="Z93" s="645"/>
      <c r="AA93" s="645"/>
      <c r="AB93" s="645"/>
      <c r="AC93" s="645"/>
    </row>
    <row r="94" spans="1:29" ht="18">
      <c r="A94" s="1084" t="s">
        <v>10</v>
      </c>
      <c r="B94" s="1085"/>
      <c r="C94" s="1085"/>
      <c r="D94" s="1085"/>
      <c r="E94" s="1085"/>
      <c r="F94" s="1086"/>
      <c r="G94" s="391" t="s">
        <v>535</v>
      </c>
      <c r="H94" s="822" t="s">
        <v>541</v>
      </c>
      <c r="I94" s="822" t="s">
        <v>616</v>
      </c>
      <c r="J94" s="1087" t="s">
        <v>462</v>
      </c>
      <c r="K94" s="1089"/>
      <c r="L94" s="1089"/>
      <c r="M94" s="1089"/>
      <c r="N94" s="1089"/>
      <c r="O94" s="1089"/>
      <c r="P94" s="1089"/>
      <c r="Q94" s="1120"/>
      <c r="S94" s="645"/>
      <c r="T94" s="645"/>
      <c r="U94" s="1118"/>
      <c r="V94" s="645"/>
      <c r="W94" s="645"/>
      <c r="X94" s="645"/>
      <c r="Y94" s="645"/>
      <c r="Z94" s="645"/>
      <c r="AA94" s="645"/>
      <c r="AB94" s="645"/>
      <c r="AC94" s="645"/>
    </row>
    <row r="95" spans="1:29" ht="15.75">
      <c r="A95" s="296"/>
      <c r="B95" s="279" t="str">
        <f>'Exh F - AA-BL Items'!B121</f>
        <v>Directly Assigned A&amp;G</v>
      </c>
      <c r="C95" s="233"/>
      <c r="D95" s="243"/>
      <c r="E95" s="251"/>
      <c r="F95" s="293"/>
      <c r="G95" s="185"/>
      <c r="H95" s="185"/>
      <c r="I95" s="185"/>
      <c r="J95" s="185"/>
      <c r="K95" s="185"/>
      <c r="L95" s="185"/>
      <c r="M95" s="185"/>
      <c r="N95" s="185"/>
      <c r="O95" s="185"/>
      <c r="P95" s="185"/>
      <c r="Q95" s="377"/>
      <c r="S95" s="645"/>
      <c r="T95" s="645"/>
      <c r="U95" s="1118"/>
      <c r="V95" s="645"/>
      <c r="W95" s="645"/>
      <c r="X95" s="645"/>
      <c r="Y95" s="645"/>
      <c r="Z95" s="645"/>
      <c r="AA95" s="645"/>
      <c r="AB95" s="645"/>
      <c r="AC95" s="645"/>
    </row>
    <row r="96" spans="1:29" ht="16.5" thickBot="1">
      <c r="A96" s="349">
        <v>80</v>
      </c>
      <c r="B96" s="360"/>
      <c r="C96" s="361" t="str">
        <f>'Exh F - AA-BL Items'!C127</f>
        <v>General Advertising Exp Account 930.1</v>
      </c>
      <c r="D96" s="623"/>
      <c r="E96" s="365" t="str">
        <f>'Exh F - AA-BL Items'!E127</f>
        <v>(Note F)</v>
      </c>
      <c r="F96" s="363" t="str">
        <f>'Exh F - AA-BL Items'!F127</f>
        <v>p323.191.b</v>
      </c>
      <c r="G96" s="518">
        <v>1479318</v>
      </c>
      <c r="H96" s="519">
        <v>0</v>
      </c>
      <c r="I96" s="519">
        <v>0</v>
      </c>
      <c r="J96" s="1128" t="s">
        <v>1000</v>
      </c>
      <c r="K96" s="1128"/>
      <c r="L96" s="1128"/>
      <c r="M96" s="1128"/>
      <c r="N96" s="1128"/>
      <c r="O96" s="1128"/>
      <c r="P96" s="1128"/>
      <c r="Q96" s="1129"/>
      <c r="S96" s="645"/>
      <c r="T96" s="645"/>
      <c r="U96" s="1118"/>
      <c r="V96" s="645"/>
      <c r="W96" s="645"/>
      <c r="X96" s="645"/>
      <c r="Y96" s="645"/>
      <c r="Z96" s="645"/>
      <c r="AA96" s="645"/>
      <c r="AB96" s="645"/>
      <c r="AC96" s="645"/>
    </row>
    <row r="97" spans="1:29" ht="15.75">
      <c r="A97" s="258"/>
      <c r="B97" s="311"/>
      <c r="C97" s="260"/>
      <c r="D97" s="243"/>
      <c r="E97" s="242"/>
      <c r="F97" s="260"/>
      <c r="G97" s="229"/>
      <c r="H97" s="229"/>
      <c r="I97" s="229"/>
      <c r="J97" s="825"/>
      <c r="K97" s="824"/>
      <c r="L97" s="824"/>
      <c r="M97" s="824"/>
      <c r="N97" s="824"/>
      <c r="O97" s="824"/>
      <c r="P97" s="824"/>
      <c r="Q97" s="824"/>
      <c r="S97" s="645"/>
      <c r="T97" s="645"/>
      <c r="U97" s="1118"/>
      <c r="V97" s="645"/>
      <c r="W97" s="645"/>
      <c r="X97" s="645"/>
      <c r="Y97" s="645"/>
      <c r="Z97" s="645"/>
      <c r="AA97" s="645"/>
      <c r="AB97" s="645"/>
      <c r="AC97" s="645"/>
    </row>
    <row r="98" spans="1:29">
      <c r="G98" s="183"/>
      <c r="H98" s="183"/>
      <c r="I98" s="183"/>
      <c r="J98" s="183"/>
      <c r="K98" s="183"/>
      <c r="L98" s="183"/>
      <c r="M98" s="183"/>
      <c r="N98" s="183"/>
      <c r="O98" s="183"/>
      <c r="P98" s="183"/>
      <c r="Q98" s="183"/>
      <c r="S98" s="645"/>
      <c r="T98" s="645"/>
      <c r="U98" s="1118"/>
      <c r="V98" s="645"/>
      <c r="W98" s="645"/>
      <c r="X98" s="645"/>
      <c r="Y98" s="645"/>
      <c r="Z98" s="645"/>
      <c r="AA98" s="645"/>
      <c r="AB98" s="645"/>
      <c r="AC98" s="645"/>
    </row>
    <row r="99" spans="1:29" ht="21" thickBot="1">
      <c r="A99" s="359" t="s">
        <v>528</v>
      </c>
      <c r="G99" s="183"/>
      <c r="H99" s="183"/>
      <c r="I99" s="183"/>
      <c r="J99" s="183"/>
      <c r="K99" s="183"/>
      <c r="L99" s="183"/>
      <c r="M99" s="183"/>
      <c r="N99" s="183"/>
      <c r="O99" s="183"/>
      <c r="P99" s="183"/>
      <c r="Q99" s="183"/>
      <c r="S99" s="645"/>
      <c r="T99" s="645"/>
      <c r="U99" s="1118"/>
      <c r="V99" s="645"/>
      <c r="W99" s="645"/>
      <c r="X99" s="645"/>
      <c r="Y99" s="645"/>
      <c r="Z99" s="645"/>
      <c r="AA99" s="645"/>
      <c r="AB99" s="645"/>
      <c r="AC99" s="645"/>
    </row>
    <row r="100" spans="1:29" ht="18">
      <c r="A100" s="1084" t="s">
        <v>10</v>
      </c>
      <c r="B100" s="1085"/>
      <c r="C100" s="1085"/>
      <c r="D100" s="1085"/>
      <c r="E100" s="1085"/>
      <c r="F100" s="1085"/>
      <c r="G100" s="391" t="s">
        <v>545</v>
      </c>
      <c r="H100" s="822" t="s">
        <v>546</v>
      </c>
      <c r="I100" s="822" t="s">
        <v>547</v>
      </c>
      <c r="J100" s="822" t="s">
        <v>548</v>
      </c>
      <c r="K100" s="822" t="s">
        <v>549</v>
      </c>
      <c r="L100" s="1087" t="s">
        <v>462</v>
      </c>
      <c r="M100" s="1089"/>
      <c r="N100" s="1089"/>
      <c r="O100" s="1089"/>
      <c r="P100" s="1089"/>
      <c r="Q100" s="1120"/>
      <c r="S100" s="645"/>
      <c r="T100" s="645"/>
      <c r="U100" s="1118"/>
      <c r="V100" s="645"/>
      <c r="W100" s="645"/>
      <c r="X100" s="645"/>
      <c r="Y100" s="645"/>
      <c r="Z100" s="645"/>
      <c r="AA100" s="645"/>
      <c r="AB100" s="645"/>
      <c r="AC100" s="645"/>
    </row>
    <row r="101" spans="1:29" ht="15.75" customHeight="1">
      <c r="A101" s="287" t="s">
        <v>176</v>
      </c>
      <c r="B101" s="268" t="s">
        <v>297</v>
      </c>
      <c r="C101" s="152"/>
      <c r="D101" s="152"/>
      <c r="E101" s="251"/>
      <c r="F101" s="249"/>
      <c r="G101" s="379"/>
      <c r="H101" s="185"/>
      <c r="I101" s="185"/>
      <c r="J101" s="185"/>
      <c r="K101" s="185"/>
      <c r="L101" s="185"/>
      <c r="M101" s="185"/>
      <c r="N101" s="185"/>
      <c r="O101" s="185"/>
      <c r="P101" s="185"/>
      <c r="Q101" s="377"/>
      <c r="S101" s="645"/>
      <c r="T101" s="645"/>
      <c r="U101" s="1118"/>
      <c r="V101" s="645"/>
      <c r="W101" s="645"/>
      <c r="X101" s="645"/>
      <c r="Y101" s="645"/>
      <c r="Z101" s="645"/>
      <c r="AA101" s="645"/>
      <c r="AB101" s="645"/>
      <c r="AC101" s="645"/>
    </row>
    <row r="102" spans="1:29" ht="15.75">
      <c r="A102" s="287"/>
      <c r="B102" s="268"/>
      <c r="C102" s="152"/>
      <c r="D102" s="152"/>
      <c r="E102" s="251"/>
      <c r="F102" s="249"/>
      <c r="G102" s="381" t="s">
        <v>40</v>
      </c>
      <c r="H102" s="229" t="s">
        <v>542</v>
      </c>
      <c r="I102" s="229" t="s">
        <v>542</v>
      </c>
      <c r="J102" s="229" t="s">
        <v>542</v>
      </c>
      <c r="K102" s="229" t="s">
        <v>542</v>
      </c>
      <c r="L102" s="1080" t="s">
        <v>544</v>
      </c>
      <c r="M102" s="1090"/>
      <c r="N102" s="1090"/>
      <c r="O102" s="1090"/>
      <c r="P102" s="1090"/>
      <c r="Q102" s="1130"/>
      <c r="S102" s="645"/>
      <c r="T102" s="645"/>
      <c r="U102" s="1118"/>
      <c r="V102" s="645"/>
      <c r="W102" s="645"/>
      <c r="X102" s="645"/>
      <c r="Y102" s="645"/>
      <c r="Z102" s="645"/>
      <c r="AA102" s="645"/>
      <c r="AB102" s="645"/>
      <c r="AC102" s="645"/>
    </row>
    <row r="103" spans="1:29" ht="16.5" thickBot="1">
      <c r="A103" s="349">
        <v>128</v>
      </c>
      <c r="B103" s="350"/>
      <c r="C103" s="372" t="str">
        <f>'Exh F - AA-BL Items'!C205</f>
        <v>SIT=State Income Tax Rate or Composite</v>
      </c>
      <c r="D103" s="373"/>
      <c r="E103" s="352" t="str">
        <f>'Exh F - AA-BL Items'!E205</f>
        <v>(Note I)</v>
      </c>
      <c r="F103" s="351">
        <f>'Exh F - AA-BL Items'!F205</f>
        <v>0</v>
      </c>
      <c r="G103" s="520">
        <v>8.2500000000000004E-2</v>
      </c>
      <c r="H103" s="433" t="s">
        <v>543</v>
      </c>
      <c r="I103" s="433" t="s">
        <v>543</v>
      </c>
      <c r="J103" s="433" t="s">
        <v>543</v>
      </c>
      <c r="K103" s="433" t="s">
        <v>543</v>
      </c>
      <c r="L103" s="1083" t="s">
        <v>41</v>
      </c>
      <c r="M103" s="1091"/>
      <c r="N103" s="1091"/>
      <c r="O103" s="1091"/>
      <c r="P103" s="1091"/>
      <c r="Q103" s="1136"/>
      <c r="S103" s="645"/>
      <c r="T103" s="645"/>
      <c r="U103" s="1118"/>
      <c r="V103" s="645"/>
      <c r="W103" s="645"/>
      <c r="X103" s="645"/>
      <c r="Y103" s="645"/>
      <c r="Z103" s="645"/>
      <c r="AA103" s="645"/>
      <c r="AB103" s="645"/>
      <c r="AC103" s="645"/>
    </row>
    <row r="104" spans="1:29">
      <c r="G104" s="183"/>
      <c r="H104" s="183"/>
      <c r="I104" s="183"/>
      <c r="J104" s="183"/>
      <c r="K104" s="183"/>
      <c r="L104" s="183"/>
      <c r="M104" s="183"/>
      <c r="N104" s="183"/>
      <c r="O104" s="183"/>
      <c r="P104" s="183"/>
      <c r="Q104" s="183"/>
      <c r="S104" s="645"/>
      <c r="T104" s="645"/>
      <c r="U104" s="645"/>
      <c r="V104" s="645"/>
      <c r="W104" s="645"/>
      <c r="X104" s="645"/>
      <c r="Y104" s="645"/>
      <c r="Z104" s="645"/>
      <c r="AA104" s="645"/>
      <c r="AB104" s="645"/>
      <c r="AC104" s="645"/>
    </row>
    <row r="105" spans="1:29">
      <c r="G105" s="183"/>
      <c r="H105" s="183"/>
      <c r="I105" s="183"/>
      <c r="J105" s="183"/>
      <c r="K105" s="183"/>
      <c r="L105" s="183"/>
      <c r="M105" s="183"/>
      <c r="N105" s="183"/>
      <c r="O105" s="183"/>
      <c r="P105" s="183"/>
      <c r="Q105" s="183"/>
      <c r="S105" s="645"/>
      <c r="T105" s="645"/>
      <c r="U105" s="645"/>
      <c r="V105" s="645"/>
      <c r="W105" s="645"/>
      <c r="X105" s="645"/>
      <c r="Y105" s="645"/>
      <c r="Z105" s="645"/>
      <c r="AA105" s="645"/>
      <c r="AB105" s="645"/>
      <c r="AC105" s="645"/>
    </row>
    <row r="106" spans="1:29" ht="21" thickBot="1">
      <c r="A106" s="359" t="s">
        <v>626</v>
      </c>
      <c r="G106" s="183"/>
      <c r="H106" s="183"/>
      <c r="I106" s="183"/>
      <c r="J106" s="183"/>
      <c r="K106" s="183"/>
      <c r="L106" s="183"/>
      <c r="M106" s="183"/>
      <c r="N106" s="183"/>
      <c r="O106" s="183"/>
      <c r="P106" s="183"/>
      <c r="Q106" s="183"/>
      <c r="S106" s="645"/>
      <c r="T106" s="645"/>
      <c r="U106" s="645"/>
      <c r="V106" s="645"/>
      <c r="W106" s="645"/>
      <c r="X106" s="645"/>
      <c r="Y106" s="645"/>
      <c r="Z106" s="645"/>
      <c r="AA106" s="645"/>
      <c r="AB106" s="645"/>
      <c r="AC106" s="645"/>
    </row>
    <row r="107" spans="1:29" ht="26.25">
      <c r="A107" s="1084" t="s">
        <v>10</v>
      </c>
      <c r="B107" s="1085"/>
      <c r="C107" s="1085"/>
      <c r="D107" s="1085"/>
      <c r="E107" s="1085"/>
      <c r="F107" s="1086"/>
      <c r="G107" s="391" t="s">
        <v>535</v>
      </c>
      <c r="H107" s="822" t="s">
        <v>550</v>
      </c>
      <c r="I107" s="822" t="s">
        <v>551</v>
      </c>
      <c r="J107" s="1087" t="s">
        <v>462</v>
      </c>
      <c r="K107" s="1089"/>
      <c r="L107" s="1089"/>
      <c r="M107" s="1089"/>
      <c r="N107" s="1089"/>
      <c r="O107" s="1089"/>
      <c r="P107" s="1089"/>
      <c r="Q107" s="1120"/>
      <c r="S107" s="645"/>
      <c r="T107" s="645"/>
      <c r="U107" s="645"/>
      <c r="V107" s="645"/>
      <c r="W107" s="645"/>
      <c r="X107" s="645"/>
      <c r="Y107" s="645"/>
      <c r="Z107" s="645"/>
      <c r="AA107" s="645"/>
      <c r="AB107" s="645"/>
      <c r="AC107" s="645"/>
    </row>
    <row r="108" spans="1:29" ht="15.75">
      <c r="A108" s="296"/>
      <c r="B108" s="279" t="s">
        <v>207</v>
      </c>
      <c r="C108" s="233"/>
      <c r="D108" s="243"/>
      <c r="E108" s="251"/>
      <c r="F108" s="293"/>
      <c r="G108" s="185"/>
      <c r="H108" s="185"/>
      <c r="I108" s="185"/>
      <c r="J108" s="185"/>
      <c r="K108" s="185"/>
      <c r="L108" s="185"/>
      <c r="M108" s="185"/>
      <c r="N108" s="185"/>
      <c r="O108" s="185"/>
      <c r="P108" s="185"/>
      <c r="Q108" s="377"/>
      <c r="S108" s="645"/>
      <c r="T108" s="645"/>
      <c r="U108" s="645"/>
      <c r="V108" s="645"/>
      <c r="W108" s="645"/>
      <c r="X108" s="645"/>
      <c r="Y108" s="645"/>
      <c r="Z108" s="645"/>
      <c r="AA108" s="645"/>
      <c r="AB108" s="645"/>
      <c r="AC108" s="645"/>
    </row>
    <row r="109" spans="1:29" ht="16.5" thickBot="1">
      <c r="A109" s="349">
        <v>77</v>
      </c>
      <c r="B109" s="360"/>
      <c r="C109" s="361" t="str">
        <f>'Exh F - AA-BL Items'!C123</f>
        <v>General Advertising Exp Account 930.1</v>
      </c>
      <c r="D109" s="374"/>
      <c r="E109" s="365" t="str">
        <f>'Exh F - AA-BL Items'!E123</f>
        <v>(Note K)</v>
      </c>
      <c r="F109" s="363" t="str">
        <f>'Exh F - AA-BL Items'!F123</f>
        <v>p323.191.b</v>
      </c>
      <c r="G109" s="521">
        <f>+G96</f>
        <v>1479318</v>
      </c>
      <c r="H109" s="433">
        <v>0</v>
      </c>
      <c r="I109" s="433">
        <v>0</v>
      </c>
      <c r="J109" s="1123"/>
      <c r="K109" s="1083"/>
      <c r="L109" s="1083"/>
      <c r="M109" s="1083"/>
      <c r="N109" s="1083"/>
      <c r="O109" s="1083"/>
      <c r="P109" s="1083"/>
      <c r="Q109" s="1119"/>
      <c r="S109" s="645"/>
      <c r="T109" s="645"/>
      <c r="U109" s="645"/>
      <c r="V109" s="645"/>
      <c r="W109" s="645"/>
      <c r="X109" s="645"/>
      <c r="Y109" s="645"/>
      <c r="Z109" s="645"/>
      <c r="AA109" s="645"/>
      <c r="AB109" s="645"/>
      <c r="AC109" s="645"/>
    </row>
    <row r="110" spans="1:29">
      <c r="G110" s="183"/>
      <c r="H110" s="183"/>
      <c r="I110" s="183"/>
      <c r="J110" s="183"/>
      <c r="K110" s="183"/>
      <c r="L110" s="183"/>
      <c r="M110" s="183"/>
      <c r="N110" s="183"/>
      <c r="O110" s="183"/>
      <c r="P110" s="183"/>
      <c r="Q110" s="183"/>
      <c r="S110" s="645"/>
      <c r="T110" s="645"/>
      <c r="U110" s="645"/>
      <c r="V110" s="645"/>
      <c r="W110" s="645"/>
      <c r="X110" s="645"/>
      <c r="Y110" s="645"/>
      <c r="Z110" s="645"/>
      <c r="AA110" s="645"/>
      <c r="AB110" s="645"/>
      <c r="AC110" s="645"/>
    </row>
    <row r="111" spans="1:29" ht="12.75" customHeight="1">
      <c r="G111" s="183"/>
      <c r="H111" s="183"/>
      <c r="I111" s="183"/>
      <c r="J111" s="183"/>
      <c r="K111" s="183"/>
      <c r="L111" s="183"/>
      <c r="M111" s="183"/>
      <c r="N111" s="183"/>
      <c r="O111" s="183"/>
      <c r="P111" s="183"/>
      <c r="Q111" s="183"/>
      <c r="S111" s="645"/>
      <c r="T111" s="645"/>
      <c r="U111" s="645"/>
      <c r="V111" s="645"/>
      <c r="W111" s="645"/>
      <c r="X111" s="645"/>
      <c r="Y111" s="645"/>
      <c r="Z111" s="645"/>
      <c r="AA111" s="645"/>
      <c r="AB111" s="645"/>
      <c r="AC111" s="645"/>
    </row>
    <row r="112" spans="1:29" ht="12.75" customHeight="1">
      <c r="A112" s="756"/>
      <c r="B112" s="756"/>
      <c r="C112" s="756"/>
      <c r="D112" s="756"/>
      <c r="E112" s="756"/>
      <c r="F112" s="756"/>
      <c r="G112" s="185"/>
      <c r="H112" s="185"/>
      <c r="I112" s="185"/>
      <c r="J112" s="185"/>
      <c r="K112" s="186"/>
      <c r="L112" s="185"/>
      <c r="M112" s="185"/>
      <c r="N112" s="185"/>
      <c r="O112" s="185"/>
      <c r="P112" s="185"/>
      <c r="Q112" s="185"/>
      <c r="S112" s="645"/>
      <c r="T112" s="645"/>
      <c r="U112" s="645"/>
      <c r="V112" s="645"/>
      <c r="W112" s="645"/>
      <c r="X112" s="645"/>
      <c r="Y112" s="645"/>
      <c r="Z112" s="645"/>
      <c r="AA112" s="645"/>
      <c r="AB112" s="645"/>
      <c r="AC112" s="645"/>
    </row>
    <row r="113" spans="1:29" ht="21.2" customHeight="1" thickBot="1">
      <c r="A113" s="359" t="s">
        <v>628</v>
      </c>
      <c r="G113" s="183"/>
      <c r="H113" s="183"/>
      <c r="I113" s="183"/>
      <c r="J113" s="183"/>
      <c r="K113" s="183"/>
      <c r="L113" s="183"/>
      <c r="M113" s="183"/>
      <c r="N113" s="183"/>
      <c r="O113" s="183"/>
      <c r="P113" s="183"/>
      <c r="Q113" s="183"/>
      <c r="S113" s="645"/>
      <c r="T113" s="645"/>
      <c r="U113" s="645"/>
      <c r="V113" s="645"/>
      <c r="W113" s="645"/>
      <c r="X113" s="645"/>
      <c r="Y113" s="645"/>
      <c r="Z113" s="645"/>
      <c r="AA113" s="645"/>
      <c r="AB113" s="645"/>
      <c r="AC113" s="645"/>
    </row>
    <row r="114" spans="1:29" ht="39.200000000000003" customHeight="1">
      <c r="A114" s="1084" t="s">
        <v>10</v>
      </c>
      <c r="B114" s="1085"/>
      <c r="C114" s="1085"/>
      <c r="D114" s="1085"/>
      <c r="E114" s="1085"/>
      <c r="F114" s="1086"/>
      <c r="G114" s="822" t="str">
        <f>+C116</f>
        <v>Excluded Transmission Facilities</v>
      </c>
      <c r="H114" s="1087" t="s">
        <v>553</v>
      </c>
      <c r="I114" s="1088"/>
      <c r="J114" s="1088"/>
      <c r="K114" s="1088"/>
      <c r="L114" s="1088"/>
      <c r="M114" s="1088"/>
      <c r="N114" s="1088"/>
      <c r="O114" s="1088"/>
      <c r="P114" s="1088"/>
      <c r="Q114" s="1124"/>
      <c r="S114" s="645"/>
      <c r="T114" s="645"/>
      <c r="U114" s="645"/>
      <c r="V114" s="645"/>
      <c r="W114" s="645"/>
      <c r="X114" s="645"/>
      <c r="Y114" s="645"/>
      <c r="Z114" s="645"/>
      <c r="AA114" s="645"/>
      <c r="AB114" s="645"/>
      <c r="AC114" s="645"/>
    </row>
    <row r="115" spans="1:29" ht="18" customHeight="1">
      <c r="A115" s="330"/>
      <c r="B115" s="230" t="s">
        <v>210</v>
      </c>
      <c r="C115" s="274"/>
      <c r="D115" s="275"/>
      <c r="E115" s="276"/>
      <c r="F115" s="331"/>
      <c r="G115" s="185"/>
      <c r="H115" s="185"/>
      <c r="I115" s="185"/>
      <c r="J115" s="185"/>
      <c r="K115" s="185"/>
      <c r="L115" s="185"/>
      <c r="M115" s="185"/>
      <c r="N115" s="185"/>
      <c r="O115" s="185"/>
      <c r="P115" s="185"/>
      <c r="Q115" s="377"/>
      <c r="S115" s="645"/>
      <c r="T115" s="645"/>
      <c r="U115" s="645"/>
      <c r="V115" s="645"/>
      <c r="W115" s="645"/>
      <c r="X115" s="645"/>
      <c r="Y115" s="645"/>
      <c r="Z115" s="645"/>
      <c r="AA115" s="645"/>
      <c r="AB115" s="645"/>
      <c r="AC115" s="645"/>
    </row>
    <row r="116" spans="1:29" ht="18" customHeight="1">
      <c r="A116" s="296">
        <v>148</v>
      </c>
      <c r="B116" s="277"/>
      <c r="C116" s="260" t="str">
        <f>+'ATT H-2A'!C253</f>
        <v>Excluded Transmission Facilities</v>
      </c>
      <c r="D116" s="275"/>
      <c r="E116" s="277" t="str">
        <f>+'ATT H-2A'!E253</f>
        <v>(Note M)</v>
      </c>
      <c r="F116" s="375" t="str">
        <f>+'ATT H-2A'!F253</f>
        <v>Attachment 5</v>
      </c>
      <c r="G116" s="407">
        <v>0</v>
      </c>
      <c r="H116" s="1080" t="s">
        <v>556</v>
      </c>
      <c r="I116" s="1081"/>
      <c r="J116" s="1081"/>
      <c r="K116" s="1081"/>
      <c r="L116" s="1081"/>
      <c r="M116" s="1081"/>
      <c r="N116" s="1081"/>
      <c r="O116" s="1081"/>
      <c r="P116" s="1081"/>
      <c r="Q116" s="1113"/>
      <c r="S116" s="645"/>
      <c r="T116" s="645"/>
      <c r="U116" s="645"/>
      <c r="V116" s="645"/>
      <c r="W116" s="645"/>
      <c r="X116" s="645"/>
      <c r="Y116" s="645"/>
      <c r="Z116" s="645"/>
      <c r="AA116" s="645"/>
      <c r="AB116" s="645"/>
      <c r="AC116" s="645"/>
    </row>
    <row r="117" spans="1:29" ht="18" customHeight="1">
      <c r="A117" s="296"/>
      <c r="B117" s="277"/>
      <c r="C117" s="254"/>
      <c r="D117" s="275"/>
      <c r="E117" s="256"/>
      <c r="F117" s="297"/>
      <c r="G117" s="185"/>
      <c r="H117" s="185"/>
      <c r="I117" s="185"/>
      <c r="J117" s="185"/>
      <c r="K117" s="185"/>
      <c r="L117" s="185"/>
      <c r="M117" s="185"/>
      <c r="N117" s="185"/>
      <c r="O117" s="229"/>
      <c r="P117" s="185"/>
      <c r="Q117" s="377"/>
      <c r="S117" s="645"/>
      <c r="T117" s="645"/>
      <c r="U117" s="645"/>
      <c r="V117" s="645"/>
      <c r="W117" s="645"/>
      <c r="X117" s="645"/>
      <c r="Y117" s="645"/>
      <c r="Z117" s="645"/>
      <c r="AA117" s="645"/>
      <c r="AB117" s="645"/>
      <c r="AC117" s="645"/>
    </row>
    <row r="118" spans="1:29" ht="18" customHeight="1">
      <c r="A118" s="296"/>
      <c r="B118" s="277"/>
      <c r="C118" s="254" t="s">
        <v>130</v>
      </c>
      <c r="D118" s="275"/>
      <c r="E118" s="256"/>
      <c r="F118" s="297"/>
      <c r="G118" s="229" t="s">
        <v>552</v>
      </c>
      <c r="H118" s="1080" t="s">
        <v>39</v>
      </c>
      <c r="I118" s="1081"/>
      <c r="J118" s="1081"/>
      <c r="K118" s="1081"/>
      <c r="L118" s="1081"/>
      <c r="M118" s="1081"/>
      <c r="N118" s="1081"/>
      <c r="O118" s="1081"/>
      <c r="P118" s="1081"/>
      <c r="Q118" s="1113"/>
      <c r="S118" s="645"/>
      <c r="T118" s="645"/>
      <c r="U118" s="645"/>
      <c r="V118" s="645"/>
      <c r="W118" s="645"/>
      <c r="X118" s="645"/>
      <c r="Y118" s="645"/>
      <c r="Z118" s="645"/>
      <c r="AA118" s="645"/>
      <c r="AB118" s="645"/>
      <c r="AC118" s="645"/>
    </row>
    <row r="119" spans="1:29" ht="18" customHeight="1">
      <c r="A119" s="296"/>
      <c r="B119" s="277">
        <v>1</v>
      </c>
      <c r="C119" s="254" t="s">
        <v>479</v>
      </c>
      <c r="D119" s="275"/>
      <c r="E119" s="256"/>
      <c r="F119" s="297"/>
      <c r="G119" s="555"/>
      <c r="H119" s="1080"/>
      <c r="I119" s="1081"/>
      <c r="J119" s="1081"/>
      <c r="K119" s="1081"/>
      <c r="L119" s="1081"/>
      <c r="M119" s="1081"/>
      <c r="N119" s="1081"/>
      <c r="O119" s="1081"/>
      <c r="P119" s="1081"/>
      <c r="Q119" s="1113"/>
      <c r="S119" s="645"/>
      <c r="T119" s="645"/>
      <c r="U119" s="645"/>
      <c r="V119" s="645"/>
      <c r="W119" s="645"/>
      <c r="X119" s="645"/>
      <c r="Y119" s="645"/>
      <c r="Z119" s="645"/>
      <c r="AA119" s="645"/>
      <c r="AB119" s="645"/>
      <c r="AC119" s="645"/>
    </row>
    <row r="120" spans="1:29" ht="18" customHeight="1">
      <c r="A120" s="296"/>
      <c r="B120" s="277"/>
      <c r="C120" s="254" t="s">
        <v>480</v>
      </c>
      <c r="D120" s="275"/>
      <c r="E120" s="256"/>
      <c r="F120" s="297"/>
      <c r="G120" s="555"/>
      <c r="H120" s="825"/>
      <c r="I120" s="824"/>
      <c r="J120" s="824"/>
      <c r="K120" s="824"/>
      <c r="L120" s="824"/>
      <c r="M120" s="824"/>
      <c r="N120" s="824"/>
      <c r="O120" s="824"/>
      <c r="P120" s="824"/>
      <c r="Q120" s="828"/>
      <c r="S120" s="645"/>
      <c r="T120" s="645"/>
      <c r="U120" s="645"/>
      <c r="V120" s="645"/>
      <c r="W120" s="645"/>
      <c r="X120" s="645"/>
      <c r="Y120" s="645"/>
      <c r="Z120" s="645"/>
      <c r="AA120" s="645"/>
      <c r="AB120" s="645"/>
      <c r="AC120" s="645"/>
    </row>
    <row r="121" spans="1:29" ht="18" customHeight="1">
      <c r="A121" s="296"/>
      <c r="B121" s="277">
        <v>2</v>
      </c>
      <c r="C121" s="254" t="s">
        <v>131</v>
      </c>
      <c r="D121" s="275"/>
      <c r="E121" s="256"/>
      <c r="F121" s="297"/>
      <c r="G121" s="229" t="s">
        <v>132</v>
      </c>
      <c r="H121" s="1080"/>
      <c r="I121" s="1081"/>
      <c r="J121" s="1081"/>
      <c r="K121" s="1081"/>
      <c r="L121" s="1081"/>
      <c r="M121" s="1081"/>
      <c r="N121" s="1081"/>
      <c r="O121" s="1081"/>
      <c r="P121" s="1081"/>
      <c r="Q121" s="1113"/>
      <c r="S121" s="645"/>
      <c r="T121" s="645"/>
      <c r="U121" s="645"/>
      <c r="V121" s="645"/>
      <c r="W121" s="645"/>
      <c r="X121" s="645"/>
      <c r="Y121" s="645"/>
      <c r="Z121" s="645"/>
      <c r="AA121" s="645"/>
      <c r="AB121" s="645"/>
      <c r="AC121" s="645"/>
    </row>
    <row r="122" spans="1:29" ht="18" customHeight="1">
      <c r="A122" s="296"/>
      <c r="B122" s="277"/>
      <c r="C122" s="254" t="s">
        <v>133</v>
      </c>
      <c r="D122" s="609" t="s">
        <v>134</v>
      </c>
      <c r="E122" s="256"/>
      <c r="F122" s="297"/>
      <c r="G122" s="229" t="str">
        <f>+G118</f>
        <v>Enter $</v>
      </c>
      <c r="H122" s="1080"/>
      <c r="I122" s="1081"/>
      <c r="J122" s="1081"/>
      <c r="K122" s="1081"/>
      <c r="L122" s="1081"/>
      <c r="M122" s="1081"/>
      <c r="N122" s="1081"/>
      <c r="O122" s="1081"/>
      <c r="P122" s="1081"/>
      <c r="Q122" s="1113"/>
      <c r="S122" s="645"/>
      <c r="T122" s="645"/>
      <c r="U122" s="645"/>
      <c r="V122" s="645"/>
      <c r="W122" s="645"/>
      <c r="X122" s="645"/>
      <c r="Y122" s="645"/>
      <c r="Z122" s="645"/>
      <c r="AA122" s="645"/>
      <c r="AB122" s="645"/>
      <c r="AC122" s="645"/>
    </row>
    <row r="123" spans="1:29" ht="15.75" customHeight="1">
      <c r="A123" s="753"/>
      <c r="B123" s="986" t="s">
        <v>178</v>
      </c>
      <c r="C123" s="254" t="s">
        <v>135</v>
      </c>
      <c r="D123" s="680">
        <v>1000000</v>
      </c>
      <c r="E123" s="631"/>
      <c r="F123" s="764"/>
      <c r="G123" s="555"/>
      <c r="H123" s="1080"/>
      <c r="I123" s="1081"/>
      <c r="J123" s="1081"/>
      <c r="K123" s="1081"/>
      <c r="L123" s="1081"/>
      <c r="M123" s="1081"/>
      <c r="N123" s="1081"/>
      <c r="O123" s="1081"/>
      <c r="P123" s="1081"/>
      <c r="Q123" s="1113"/>
      <c r="S123" s="645"/>
      <c r="T123" s="645"/>
      <c r="U123" s="645"/>
      <c r="V123" s="645"/>
      <c r="W123" s="645"/>
      <c r="X123" s="645"/>
      <c r="Y123" s="645"/>
      <c r="Z123" s="645"/>
      <c r="AA123" s="645"/>
      <c r="AB123" s="645"/>
      <c r="AC123" s="645"/>
    </row>
    <row r="124" spans="1:29" ht="15.75" customHeight="1">
      <c r="A124" s="753"/>
      <c r="B124" s="986" t="s">
        <v>341</v>
      </c>
      <c r="C124" s="254" t="s">
        <v>136</v>
      </c>
      <c r="D124" s="680">
        <v>500000</v>
      </c>
      <c r="E124" s="631"/>
      <c r="F124" s="764"/>
      <c r="G124" s="555"/>
      <c r="H124" s="1080"/>
      <c r="I124" s="1081"/>
      <c r="J124" s="1081"/>
      <c r="K124" s="1081"/>
      <c r="L124" s="1081"/>
      <c r="M124" s="1081"/>
      <c r="N124" s="1081"/>
      <c r="O124" s="1081"/>
      <c r="P124" s="1081"/>
      <c r="Q124" s="1113"/>
      <c r="S124" s="645"/>
      <c r="T124" s="645"/>
      <c r="U124" s="645"/>
      <c r="V124" s="645"/>
      <c r="W124" s="645"/>
      <c r="X124" s="645"/>
      <c r="Y124" s="645"/>
      <c r="Z124" s="645"/>
      <c r="AA124" s="645"/>
      <c r="AB124" s="645"/>
      <c r="AC124" s="645"/>
    </row>
    <row r="125" spans="1:29" ht="15.75" customHeight="1">
      <c r="A125" s="753"/>
      <c r="B125" s="986" t="s">
        <v>150</v>
      </c>
      <c r="C125" s="254" t="s">
        <v>137</v>
      </c>
      <c r="D125" s="680">
        <v>400000</v>
      </c>
      <c r="E125" s="631"/>
      <c r="F125" s="764"/>
      <c r="G125" s="555"/>
      <c r="H125" s="1080"/>
      <c r="I125" s="1081"/>
      <c r="J125" s="1081"/>
      <c r="K125" s="1081"/>
      <c r="L125" s="1081"/>
      <c r="M125" s="1081"/>
      <c r="N125" s="1081"/>
      <c r="O125" s="1081"/>
      <c r="P125" s="1081"/>
      <c r="Q125" s="1113"/>
      <c r="S125" s="645"/>
      <c r="T125" s="645"/>
      <c r="U125" s="645"/>
      <c r="V125" s="645"/>
      <c r="W125" s="645"/>
      <c r="X125" s="645"/>
      <c r="Y125" s="645"/>
      <c r="Z125" s="645"/>
      <c r="AA125" s="645"/>
      <c r="AB125" s="645"/>
      <c r="AC125" s="645"/>
    </row>
    <row r="126" spans="1:29" ht="15.75" customHeight="1">
      <c r="A126" s="753"/>
      <c r="B126" s="986" t="s">
        <v>179</v>
      </c>
      <c r="C126" s="254" t="s">
        <v>138</v>
      </c>
      <c r="D126" s="680">
        <f>+D123*(D125/(D124+D125))</f>
        <v>444444.44444444444</v>
      </c>
      <c r="E126" s="631"/>
      <c r="F126" s="764"/>
      <c r="G126" s="555"/>
      <c r="H126" s="1080"/>
      <c r="I126" s="1081"/>
      <c r="J126" s="1081"/>
      <c r="K126" s="1081"/>
      <c r="L126" s="1081"/>
      <c r="M126" s="1081"/>
      <c r="N126" s="1081"/>
      <c r="O126" s="1081"/>
      <c r="P126" s="1081"/>
      <c r="Q126" s="1113"/>
      <c r="S126" s="645"/>
      <c r="T126" s="645"/>
      <c r="U126" s="645"/>
      <c r="V126" s="645"/>
      <c r="W126" s="645"/>
      <c r="X126" s="645"/>
      <c r="Y126" s="645"/>
      <c r="Z126" s="645"/>
      <c r="AA126" s="645"/>
      <c r="AB126" s="645"/>
      <c r="AC126" s="645"/>
    </row>
    <row r="127" spans="1:29" ht="13.7" customHeight="1" thickBot="1">
      <c r="A127" s="765"/>
      <c r="B127" s="984"/>
      <c r="C127" s="984"/>
      <c r="D127" s="984"/>
      <c r="E127" s="984"/>
      <c r="F127" s="770"/>
      <c r="G127" s="378"/>
      <c r="H127" s="378"/>
      <c r="I127" s="378"/>
      <c r="J127" s="378"/>
      <c r="K127" s="393" t="s">
        <v>555</v>
      </c>
      <c r="L127" s="378"/>
      <c r="M127" s="378"/>
      <c r="N127" s="378"/>
      <c r="O127" s="378"/>
      <c r="P127" s="378"/>
      <c r="Q127" s="385"/>
      <c r="S127" s="645"/>
      <c r="T127" s="645"/>
      <c r="U127" s="645"/>
      <c r="V127" s="645"/>
      <c r="W127" s="645"/>
      <c r="X127" s="645"/>
      <c r="Y127" s="645"/>
      <c r="Z127" s="645"/>
      <c r="AA127" s="645"/>
      <c r="AB127" s="645"/>
      <c r="AC127" s="645"/>
    </row>
    <row r="128" spans="1:29" ht="12.75" customHeight="1">
      <c r="A128" s="756"/>
      <c r="B128" s="756"/>
      <c r="C128" s="756"/>
      <c r="D128" s="756"/>
      <c r="E128" s="756"/>
      <c r="F128" s="756"/>
      <c r="G128" s="185"/>
      <c r="H128" s="185"/>
      <c r="I128" s="185"/>
      <c r="J128" s="185"/>
      <c r="K128" s="186"/>
      <c r="L128" s="185"/>
      <c r="M128" s="185"/>
      <c r="N128" s="185"/>
      <c r="O128" s="185"/>
      <c r="P128" s="185"/>
      <c r="Q128" s="185"/>
      <c r="S128" s="645"/>
      <c r="T128" s="645"/>
      <c r="U128" s="645"/>
      <c r="V128" s="645"/>
      <c r="W128" s="645"/>
      <c r="X128" s="645"/>
      <c r="Y128" s="645"/>
      <c r="Z128" s="645"/>
      <c r="AA128" s="645"/>
      <c r="AB128" s="645"/>
      <c r="AC128" s="645"/>
    </row>
    <row r="129" spans="1:29" ht="12.75" customHeight="1">
      <c r="A129" s="756"/>
      <c r="B129" s="756"/>
      <c r="C129" s="756"/>
      <c r="D129" s="756"/>
      <c r="E129" s="756"/>
      <c r="F129" s="756"/>
      <c r="G129" s="185"/>
      <c r="H129" s="185"/>
      <c r="I129" s="185"/>
      <c r="J129" s="185"/>
      <c r="K129" s="186"/>
      <c r="L129" s="185"/>
      <c r="M129" s="185"/>
      <c r="N129" s="185"/>
      <c r="O129" s="185"/>
      <c r="P129" s="185"/>
      <c r="Q129" s="185"/>
      <c r="S129" s="645"/>
      <c r="T129" s="645"/>
      <c r="U129" s="645"/>
      <c r="V129" s="645"/>
      <c r="W129" s="645"/>
      <c r="X129" s="645"/>
      <c r="Y129" s="645"/>
      <c r="Z129" s="645"/>
      <c r="AA129" s="645"/>
      <c r="AB129" s="645"/>
      <c r="AC129" s="645"/>
    </row>
    <row r="130" spans="1:29" ht="21.2" customHeight="1" thickBot="1">
      <c r="A130" s="359" t="s">
        <v>629</v>
      </c>
      <c r="G130" s="183"/>
      <c r="H130" s="183"/>
      <c r="I130" s="183"/>
      <c r="J130" s="183"/>
      <c r="K130" s="183"/>
      <c r="L130" s="183"/>
      <c r="M130" s="183"/>
      <c r="N130" s="183"/>
      <c r="O130" s="183"/>
      <c r="P130" s="183"/>
      <c r="Q130" s="183"/>
      <c r="S130" s="645"/>
      <c r="T130" s="645"/>
      <c r="U130" s="645"/>
      <c r="V130" s="645"/>
      <c r="W130" s="645"/>
      <c r="X130" s="645"/>
      <c r="Y130" s="645"/>
      <c r="Z130" s="645"/>
      <c r="AA130" s="645"/>
      <c r="AB130" s="645"/>
      <c r="AC130" s="645"/>
    </row>
    <row r="131" spans="1:29" ht="26.45" customHeight="1">
      <c r="A131" s="1084" t="s">
        <v>10</v>
      </c>
      <c r="B131" s="1085"/>
      <c r="C131" s="1085"/>
      <c r="D131" s="1085"/>
      <c r="E131" s="1085"/>
      <c r="F131" s="1086"/>
      <c r="G131" s="822" t="str">
        <f>+C133</f>
        <v>Outstanding Network Credits</v>
      </c>
      <c r="H131" s="1087" t="s">
        <v>560</v>
      </c>
      <c r="I131" s="1088"/>
      <c r="J131" s="1088"/>
      <c r="K131" s="1088"/>
      <c r="L131" s="1088"/>
      <c r="M131" s="1088"/>
      <c r="N131" s="1088"/>
      <c r="O131" s="1088"/>
      <c r="P131" s="1088"/>
      <c r="Q131" s="1124"/>
      <c r="S131" s="645"/>
      <c r="T131" s="645"/>
      <c r="U131" s="645"/>
      <c r="V131" s="645"/>
      <c r="W131" s="645"/>
      <c r="X131" s="645"/>
      <c r="Y131" s="645"/>
      <c r="Z131" s="645"/>
      <c r="AA131" s="645"/>
      <c r="AB131" s="645"/>
      <c r="AC131" s="645"/>
    </row>
    <row r="132" spans="1:29" ht="15.75" customHeight="1">
      <c r="A132" s="317"/>
      <c r="B132" s="252" t="s">
        <v>506</v>
      </c>
      <c r="C132" s="318"/>
      <c r="D132" s="259"/>
      <c r="E132" s="319"/>
      <c r="F132" s="286"/>
      <c r="G132" s="185"/>
      <c r="H132" s="185"/>
      <c r="I132" s="185"/>
      <c r="J132" s="185"/>
      <c r="K132" s="185"/>
      <c r="L132" s="185"/>
      <c r="M132" s="185"/>
      <c r="N132" s="185"/>
      <c r="O132" s="185"/>
      <c r="P132" s="185"/>
      <c r="Q132" s="377"/>
      <c r="S132" s="645"/>
      <c r="T132" s="645"/>
      <c r="U132" s="645"/>
      <c r="V132" s="645"/>
      <c r="W132" s="645"/>
      <c r="X132" s="645"/>
      <c r="Y132" s="645"/>
      <c r="Z132" s="645"/>
      <c r="AA132" s="645"/>
      <c r="AB132" s="645"/>
      <c r="AC132" s="645"/>
    </row>
    <row r="133" spans="1:29" ht="12.75" customHeight="1">
      <c r="A133" s="567">
        <v>55</v>
      </c>
      <c r="B133" s="568"/>
      <c r="C133" s="569" t="str">
        <f>+'ATT H-2A'!C102</f>
        <v>Outstanding Network Credits</v>
      </c>
      <c r="D133" s="568"/>
      <c r="E133" s="568" t="str">
        <f>+'ATT H-2A'!E102</f>
        <v>(Note N)</v>
      </c>
      <c r="F133" s="571" t="str">
        <f>+'ATT H-2A'!F102</f>
        <v>From PJM</v>
      </c>
      <c r="G133" s="407">
        <v>0</v>
      </c>
      <c r="H133" s="1080" t="s">
        <v>558</v>
      </c>
      <c r="I133" s="1081"/>
      <c r="J133" s="1081"/>
      <c r="K133" s="1081"/>
      <c r="L133" s="1081"/>
      <c r="M133" s="1081"/>
      <c r="N133" s="1081"/>
      <c r="O133" s="1081"/>
      <c r="P133" s="1081"/>
      <c r="Q133" s="1113"/>
      <c r="S133" s="645"/>
      <c r="T133" s="645"/>
      <c r="U133" s="645"/>
      <c r="V133" s="645"/>
      <c r="W133" s="645"/>
      <c r="X133" s="645"/>
      <c r="Y133" s="645"/>
      <c r="Z133" s="645"/>
      <c r="AA133" s="645"/>
      <c r="AB133" s="645"/>
      <c r="AC133" s="645"/>
    </row>
    <row r="134" spans="1:29" ht="12.75" customHeight="1">
      <c r="A134" s="567"/>
      <c r="B134" s="568"/>
      <c r="C134" s="569"/>
      <c r="D134" s="568"/>
      <c r="E134" s="570"/>
      <c r="F134" s="571"/>
      <c r="G134" s="185"/>
      <c r="H134" s="185"/>
      <c r="I134" s="185"/>
      <c r="J134" s="185"/>
      <c r="K134" s="185"/>
      <c r="L134" s="185"/>
      <c r="M134" s="185"/>
      <c r="N134" s="185"/>
      <c r="O134" s="229"/>
      <c r="P134" s="185"/>
      <c r="Q134" s="377"/>
      <c r="S134" s="645"/>
      <c r="T134" s="645"/>
      <c r="U134" s="645"/>
      <c r="V134" s="645"/>
      <c r="W134" s="645"/>
      <c r="X134" s="645"/>
      <c r="Y134" s="645"/>
      <c r="Z134" s="645"/>
      <c r="AA134" s="645"/>
      <c r="AB134" s="645"/>
      <c r="AC134" s="645"/>
    </row>
    <row r="135" spans="1:29" ht="12.75" customHeight="1">
      <c r="A135" s="567"/>
      <c r="B135" s="568"/>
      <c r="C135" s="569"/>
      <c r="D135" s="568"/>
      <c r="E135" s="570"/>
      <c r="F135" s="571"/>
      <c r="G135" s="229" t="s">
        <v>552</v>
      </c>
      <c r="H135" s="1080" t="s">
        <v>39</v>
      </c>
      <c r="I135" s="1081"/>
      <c r="J135" s="1081"/>
      <c r="K135" s="1081"/>
      <c r="L135" s="1081"/>
      <c r="M135" s="1081"/>
      <c r="N135" s="1081"/>
      <c r="O135" s="1081"/>
      <c r="P135" s="1081"/>
      <c r="Q135" s="1113"/>
      <c r="S135" s="645"/>
      <c r="T135" s="645"/>
      <c r="U135" s="645"/>
      <c r="V135" s="645"/>
      <c r="W135" s="645"/>
      <c r="X135" s="645"/>
      <c r="Y135" s="645"/>
      <c r="Z135" s="645"/>
      <c r="AA135" s="645"/>
      <c r="AB135" s="645"/>
      <c r="AC135" s="645"/>
    </row>
    <row r="136" spans="1:29" ht="12.75" customHeight="1">
      <c r="A136" s="567"/>
      <c r="B136" s="568"/>
      <c r="C136" s="569"/>
      <c r="D136" s="568"/>
      <c r="E136" s="570"/>
      <c r="F136" s="571"/>
      <c r="G136" s="229"/>
      <c r="H136" s="1080"/>
      <c r="I136" s="1081"/>
      <c r="J136" s="1081"/>
      <c r="K136" s="1081"/>
      <c r="L136" s="1081"/>
      <c r="M136" s="1081"/>
      <c r="N136" s="1081"/>
      <c r="O136" s="1081"/>
      <c r="P136" s="1081"/>
      <c r="Q136" s="1113"/>
      <c r="S136" s="645"/>
      <c r="T136" s="645"/>
      <c r="U136" s="645"/>
      <c r="V136" s="645"/>
      <c r="W136" s="645"/>
      <c r="X136" s="645"/>
      <c r="Y136" s="645"/>
      <c r="Z136" s="645"/>
      <c r="AA136" s="645"/>
      <c r="AB136" s="645"/>
      <c r="AC136" s="645"/>
    </row>
    <row r="137" spans="1:29" ht="12.75" customHeight="1">
      <c r="A137" s="567"/>
      <c r="B137" s="568"/>
      <c r="C137" s="569"/>
      <c r="D137" s="568"/>
      <c r="E137" s="570"/>
      <c r="F137" s="571"/>
      <c r="G137" s="229"/>
      <c r="H137" s="1080"/>
      <c r="I137" s="1081"/>
      <c r="J137" s="1081"/>
      <c r="K137" s="1081"/>
      <c r="L137" s="1081"/>
      <c r="M137" s="1081"/>
      <c r="N137" s="1081"/>
      <c r="O137" s="1081"/>
      <c r="P137" s="1081"/>
      <c r="Q137" s="1113"/>
      <c r="S137" s="645"/>
      <c r="T137" s="645"/>
      <c r="U137" s="645"/>
      <c r="V137" s="645"/>
      <c r="W137" s="645"/>
      <c r="X137" s="645"/>
      <c r="Y137" s="645"/>
      <c r="Z137" s="645"/>
      <c r="AA137" s="645"/>
      <c r="AB137" s="645"/>
      <c r="AC137" s="645"/>
    </row>
    <row r="138" spans="1:29" ht="12.75" customHeight="1">
      <c r="A138" s="567">
        <v>56</v>
      </c>
      <c r="B138" s="568"/>
      <c r="C138" s="569" t="str">
        <f>+'ATT H-2A'!C103</f>
        <v xml:space="preserve">    Less Accumulated Depreciation Associated with Facilities with Outstanding Network Credits</v>
      </c>
      <c r="D138" s="568"/>
      <c r="E138" s="568" t="str">
        <f>+'ATT H-2A'!E103</f>
        <v>(Note N)</v>
      </c>
      <c r="F138" s="571" t="str">
        <f>+'ATT H-2A'!F103</f>
        <v>From PJM</v>
      </c>
      <c r="G138" s="229">
        <v>0</v>
      </c>
      <c r="H138" s="1080"/>
      <c r="I138" s="1081"/>
      <c r="J138" s="1081"/>
      <c r="K138" s="1081"/>
      <c r="L138" s="1081"/>
      <c r="M138" s="1081"/>
      <c r="N138" s="1081"/>
      <c r="O138" s="1081"/>
      <c r="P138" s="1081"/>
      <c r="Q138" s="1113"/>
      <c r="S138" s="645"/>
      <c r="T138" s="645"/>
      <c r="U138" s="645"/>
      <c r="V138" s="645"/>
      <c r="W138" s="645"/>
      <c r="X138" s="645"/>
      <c r="Y138" s="645"/>
      <c r="Z138" s="645"/>
      <c r="AA138" s="645"/>
      <c r="AB138" s="645"/>
      <c r="AC138" s="645"/>
    </row>
    <row r="139" spans="1:29" ht="15.75" customHeight="1">
      <c r="A139" s="296"/>
      <c r="B139" s="277"/>
      <c r="C139" s="277"/>
      <c r="D139" s="277"/>
      <c r="E139" s="325"/>
      <c r="F139" s="375"/>
      <c r="G139" s="229"/>
      <c r="H139" s="1080"/>
      <c r="I139" s="1081"/>
      <c r="J139" s="1081"/>
      <c r="K139" s="1081"/>
      <c r="L139" s="1081"/>
      <c r="M139" s="1081"/>
      <c r="N139" s="1081"/>
      <c r="O139" s="1081"/>
      <c r="P139" s="1081"/>
      <c r="Q139" s="1113"/>
      <c r="S139" s="645"/>
      <c r="T139" s="645"/>
      <c r="U139" s="645"/>
      <c r="V139" s="645"/>
      <c r="W139" s="645"/>
      <c r="X139" s="645"/>
      <c r="Y139" s="645"/>
      <c r="Z139" s="645"/>
      <c r="AA139" s="645"/>
      <c r="AB139" s="645"/>
      <c r="AC139" s="645"/>
    </row>
    <row r="140" spans="1:29" ht="15.75" customHeight="1">
      <c r="A140" s="296"/>
      <c r="B140" s="277"/>
      <c r="C140" s="277"/>
      <c r="D140" s="277"/>
      <c r="E140" s="325"/>
      <c r="F140" s="375"/>
      <c r="G140" s="229" t="s">
        <v>552</v>
      </c>
      <c r="H140" s="1080" t="s">
        <v>39</v>
      </c>
      <c r="I140" s="1081"/>
      <c r="J140" s="1081"/>
      <c r="K140" s="1081"/>
      <c r="L140" s="1081"/>
      <c r="M140" s="1081"/>
      <c r="N140" s="1081"/>
      <c r="O140" s="1081"/>
      <c r="P140" s="1081"/>
      <c r="Q140" s="1113"/>
      <c r="S140" s="645"/>
      <c r="T140" s="645"/>
      <c r="U140" s="645"/>
      <c r="V140" s="645"/>
      <c r="W140" s="645"/>
      <c r="X140" s="645"/>
      <c r="Y140" s="645"/>
      <c r="Z140" s="645"/>
      <c r="AA140" s="645"/>
      <c r="AB140" s="645"/>
      <c r="AC140" s="645"/>
    </row>
    <row r="141" spans="1:29" ht="15.75" customHeight="1">
      <c r="A141" s="296"/>
      <c r="B141" s="277"/>
      <c r="C141" s="277"/>
      <c r="D141" s="277"/>
      <c r="E141" s="325"/>
      <c r="F141" s="375"/>
      <c r="G141" s="229"/>
      <c r="H141" s="1080"/>
      <c r="I141" s="1081"/>
      <c r="J141" s="1081"/>
      <c r="K141" s="1081"/>
      <c r="L141" s="1081"/>
      <c r="M141" s="1081"/>
      <c r="N141" s="1081"/>
      <c r="O141" s="1081"/>
      <c r="P141" s="1081"/>
      <c r="Q141" s="1113"/>
      <c r="S141" s="645"/>
      <c r="T141" s="645"/>
      <c r="U141" s="645"/>
      <c r="V141" s="645"/>
      <c r="W141" s="645"/>
      <c r="X141" s="645"/>
      <c r="Y141" s="645"/>
      <c r="Z141" s="645"/>
      <c r="AA141" s="645"/>
      <c r="AB141" s="645"/>
      <c r="AC141" s="645"/>
    </row>
    <row r="142" spans="1:29" ht="16.5" customHeight="1" thickBot="1">
      <c r="A142" s="349"/>
      <c r="B142" s="354"/>
      <c r="C142" s="354"/>
      <c r="D142" s="354"/>
      <c r="E142" s="362"/>
      <c r="F142" s="376"/>
      <c r="G142" s="378"/>
      <c r="H142" s="378"/>
      <c r="I142" s="378"/>
      <c r="J142" s="378"/>
      <c r="K142" s="393" t="s">
        <v>555</v>
      </c>
      <c r="L142" s="378"/>
      <c r="M142" s="378"/>
      <c r="N142" s="378"/>
      <c r="O142" s="378"/>
      <c r="P142" s="378"/>
      <c r="Q142" s="385"/>
      <c r="S142" s="645"/>
      <c r="T142" s="645"/>
      <c r="U142" s="645"/>
      <c r="V142" s="645"/>
      <c r="W142" s="645"/>
      <c r="X142" s="645"/>
      <c r="Y142" s="645"/>
      <c r="Z142" s="645"/>
      <c r="AA142" s="645"/>
      <c r="AB142" s="645"/>
      <c r="AC142" s="645"/>
    </row>
    <row r="143" spans="1:29" ht="15.75" customHeight="1">
      <c r="A143" s="277"/>
      <c r="B143" s="277"/>
      <c r="C143" s="277"/>
      <c r="D143" s="277"/>
      <c r="E143" s="325"/>
      <c r="F143" s="277"/>
      <c r="G143" s="185"/>
      <c r="H143" s="185"/>
      <c r="I143" s="185"/>
      <c r="J143" s="185"/>
      <c r="K143" s="186"/>
      <c r="L143" s="185"/>
      <c r="M143" s="185"/>
      <c r="N143" s="185"/>
      <c r="O143" s="185"/>
      <c r="P143" s="185"/>
      <c r="Q143" s="185"/>
      <c r="S143" s="645"/>
      <c r="T143" s="645"/>
      <c r="U143" s="645"/>
      <c r="V143" s="645"/>
      <c r="W143" s="645"/>
      <c r="X143" s="645"/>
      <c r="Y143" s="645"/>
      <c r="Z143" s="645"/>
      <c r="AA143" s="645"/>
      <c r="AB143" s="645"/>
      <c r="AC143" s="645"/>
    </row>
    <row r="144" spans="1:29" ht="15.75" customHeight="1">
      <c r="A144" s="277"/>
      <c r="B144" s="277"/>
      <c r="C144" s="277"/>
      <c r="D144" s="277"/>
      <c r="E144" s="325"/>
      <c r="F144" s="277"/>
      <c r="G144" s="185"/>
      <c r="H144" s="185"/>
      <c r="I144" s="185"/>
      <c r="J144" s="185"/>
      <c r="K144" s="186"/>
      <c r="L144" s="185"/>
      <c r="M144" s="185"/>
      <c r="N144" s="185"/>
      <c r="O144" s="185"/>
      <c r="P144" s="185"/>
      <c r="Q144" s="185"/>
      <c r="S144" s="645"/>
      <c r="T144" s="645"/>
      <c r="U144" s="645"/>
      <c r="V144" s="645"/>
      <c r="W144" s="645"/>
      <c r="X144" s="645"/>
      <c r="Y144" s="645"/>
      <c r="Z144" s="645"/>
      <c r="AA144" s="645"/>
      <c r="AB144" s="645"/>
      <c r="AC144" s="645"/>
    </row>
    <row r="145" spans="1:29" ht="21.2" customHeight="1" thickBot="1">
      <c r="A145" s="359" t="s">
        <v>655</v>
      </c>
      <c r="G145" s="183"/>
      <c r="H145" s="183"/>
      <c r="I145" s="183"/>
      <c r="J145" s="183"/>
      <c r="K145" s="183"/>
      <c r="L145" s="183"/>
      <c r="M145" s="183"/>
      <c r="N145" s="183"/>
      <c r="O145" s="183"/>
      <c r="P145" s="183"/>
      <c r="Q145" s="183"/>
      <c r="S145" s="645"/>
      <c r="T145" s="645"/>
      <c r="U145" s="645"/>
      <c r="V145" s="645"/>
      <c r="W145" s="645"/>
      <c r="X145" s="645"/>
      <c r="Y145" s="645"/>
      <c r="Z145" s="645"/>
      <c r="AA145" s="645"/>
      <c r="AB145" s="645"/>
      <c r="AC145" s="645"/>
    </row>
    <row r="146" spans="1:29" ht="26.45" customHeight="1">
      <c r="A146" s="1084" t="s">
        <v>10</v>
      </c>
      <c r="B146" s="1085"/>
      <c r="C146" s="1085"/>
      <c r="D146" s="1085"/>
      <c r="E146" s="1085"/>
      <c r="F146" s="1086"/>
      <c r="G146" s="822" t="s">
        <v>340</v>
      </c>
      <c r="H146" s="822" t="s">
        <v>656</v>
      </c>
      <c r="I146" s="822" t="s">
        <v>539</v>
      </c>
      <c r="J146" s="1087" t="s">
        <v>462</v>
      </c>
      <c r="K146" s="1089"/>
      <c r="L146" s="1089"/>
      <c r="M146" s="1089"/>
      <c r="N146" s="1089"/>
      <c r="O146" s="1089"/>
      <c r="P146" s="1089"/>
      <c r="Q146" s="1120"/>
      <c r="S146" s="645"/>
      <c r="T146" s="645"/>
      <c r="U146" s="645"/>
      <c r="V146" s="645"/>
      <c r="W146" s="645"/>
      <c r="X146" s="645"/>
      <c r="Y146" s="645"/>
      <c r="Z146" s="645"/>
      <c r="AA146" s="645"/>
      <c r="AB146" s="645"/>
      <c r="AC146" s="645"/>
    </row>
    <row r="147" spans="1:29" ht="15.75" customHeight="1">
      <c r="A147" s="296">
        <f>+'ATT H-2A'!A80</f>
        <v>44</v>
      </c>
      <c r="B147" s="279" t="s">
        <v>19</v>
      </c>
      <c r="C147" s="233"/>
      <c r="D147" s="243"/>
      <c r="E147" s="251"/>
      <c r="F147" s="293"/>
      <c r="G147" s="556" t="s">
        <v>552</v>
      </c>
      <c r="H147" s="557"/>
      <c r="I147" s="557" t="s">
        <v>448</v>
      </c>
      <c r="J147" s="185"/>
      <c r="K147" s="185"/>
      <c r="L147" s="185"/>
      <c r="M147" s="185"/>
      <c r="N147" s="185"/>
      <c r="O147" s="185"/>
      <c r="P147" s="185"/>
      <c r="Q147" s="377"/>
      <c r="S147" s="645"/>
      <c r="T147" s="645"/>
      <c r="U147" s="645"/>
      <c r="V147" s="645"/>
      <c r="W147" s="645"/>
      <c r="X147" s="645"/>
      <c r="Y147" s="645"/>
      <c r="Z147" s="645"/>
      <c r="AA147" s="645"/>
      <c r="AB147" s="645"/>
      <c r="AC147" s="645"/>
    </row>
    <row r="148" spans="1:29" ht="15.75" customHeight="1">
      <c r="A148" s="296"/>
      <c r="B148" s="279"/>
      <c r="C148" s="233" t="s">
        <v>657</v>
      </c>
      <c r="D148" s="243"/>
      <c r="E148" s="251"/>
      <c r="F148" s="293"/>
      <c r="G148" s="591">
        <v>0</v>
      </c>
      <c r="H148" s="588">
        <v>1</v>
      </c>
      <c r="I148" s="557">
        <f>+G148*H148</f>
        <v>0</v>
      </c>
      <c r="J148" s="185"/>
      <c r="K148" s="185"/>
      <c r="L148" s="185"/>
      <c r="M148" s="185"/>
      <c r="N148" s="185"/>
      <c r="O148" s="185"/>
      <c r="P148" s="185"/>
      <c r="Q148" s="377"/>
      <c r="S148" s="645"/>
      <c r="T148" s="645"/>
      <c r="U148" s="645"/>
      <c r="V148" s="645"/>
      <c r="W148" s="645"/>
      <c r="X148" s="645"/>
      <c r="Y148" s="645"/>
      <c r="Z148" s="645"/>
      <c r="AA148" s="645"/>
      <c r="AB148" s="645"/>
      <c r="AC148" s="645"/>
    </row>
    <row r="149" spans="1:29" ht="15.75" customHeight="1">
      <c r="A149" s="296"/>
      <c r="B149" s="279"/>
      <c r="C149" s="233" t="s">
        <v>658</v>
      </c>
      <c r="D149" s="243"/>
      <c r="E149" s="251"/>
      <c r="F149" s="293"/>
      <c r="G149" s="591">
        <v>0</v>
      </c>
      <c r="H149" s="589">
        <f>+'ATT H-2A'!H16</f>
        <v>0.17040128500007015</v>
      </c>
      <c r="I149" s="557">
        <f>+G149*H149</f>
        <v>0</v>
      </c>
      <c r="J149" s="185"/>
      <c r="K149" s="185"/>
      <c r="L149" s="185"/>
      <c r="M149" s="185"/>
      <c r="N149" s="185"/>
      <c r="O149" s="185"/>
      <c r="P149" s="185"/>
      <c r="Q149" s="377"/>
      <c r="S149" s="645"/>
      <c r="T149" s="645"/>
      <c r="U149" s="645"/>
      <c r="V149" s="645"/>
      <c r="W149" s="645"/>
      <c r="X149" s="645"/>
      <c r="Y149" s="645"/>
      <c r="Z149" s="645"/>
      <c r="AA149" s="645"/>
      <c r="AB149" s="645"/>
      <c r="AC149" s="645"/>
    </row>
    <row r="150" spans="1:29" ht="15.75" customHeight="1">
      <c r="A150" s="296"/>
      <c r="B150" s="279"/>
      <c r="C150" s="233" t="s">
        <v>437</v>
      </c>
      <c r="D150" s="243"/>
      <c r="E150" s="251"/>
      <c r="F150" s="293"/>
      <c r="G150" s="591">
        <v>0</v>
      </c>
      <c r="H150" s="589">
        <f>+'ATT H-2A'!H32</f>
        <v>0.20420825967620285</v>
      </c>
      <c r="I150" s="557">
        <f>+G150*H150</f>
        <v>0</v>
      </c>
      <c r="J150" s="185"/>
      <c r="K150" s="185"/>
      <c r="L150" s="185"/>
      <c r="M150" s="185"/>
      <c r="N150" s="185"/>
      <c r="O150" s="185"/>
      <c r="P150" s="185"/>
      <c r="Q150" s="377"/>
      <c r="S150" s="645"/>
      <c r="T150" s="645"/>
      <c r="U150" s="645"/>
      <c r="V150" s="645"/>
      <c r="W150" s="645"/>
      <c r="X150" s="645"/>
      <c r="Y150" s="645"/>
      <c r="Z150" s="645"/>
      <c r="AA150" s="645"/>
      <c r="AB150" s="645"/>
      <c r="AC150" s="645"/>
    </row>
    <row r="151" spans="1:29" ht="15.75" customHeight="1" thickBot="1">
      <c r="A151" s="296"/>
      <c r="B151" s="279"/>
      <c r="C151" s="233" t="s">
        <v>551</v>
      </c>
      <c r="D151" s="243"/>
      <c r="E151" s="251"/>
      <c r="F151" s="293"/>
      <c r="G151" s="592">
        <v>0</v>
      </c>
      <c r="H151" s="589">
        <v>0</v>
      </c>
      <c r="I151" s="557">
        <f>+G151*H151</f>
        <v>0</v>
      </c>
      <c r="J151" s="185"/>
      <c r="K151" s="185"/>
      <c r="L151" s="185"/>
      <c r="M151" s="185"/>
      <c r="N151" s="185"/>
      <c r="O151" s="185"/>
      <c r="P151" s="185"/>
      <c r="Q151" s="377"/>
      <c r="S151" s="645"/>
      <c r="T151" s="645"/>
      <c r="U151" s="645"/>
      <c r="V151" s="645"/>
      <c r="W151" s="645"/>
      <c r="X151" s="645"/>
      <c r="Y151" s="645"/>
      <c r="Z151" s="645"/>
      <c r="AA151" s="645"/>
      <c r="AB151" s="645"/>
      <c r="AC151" s="645"/>
    </row>
    <row r="152" spans="1:29" ht="16.5" customHeight="1" thickBot="1">
      <c r="A152" s="987"/>
      <c r="B152" s="360"/>
      <c r="C152" s="558" t="s">
        <v>139</v>
      </c>
      <c r="D152" s="374"/>
      <c r="E152" s="559"/>
      <c r="F152" s="560"/>
      <c r="G152" s="590">
        <f>SUM(G148:G151)</f>
        <v>0</v>
      </c>
      <c r="H152" s="561"/>
      <c r="I152" s="562">
        <f>SUM(I148:I151)</f>
        <v>0</v>
      </c>
      <c r="J152" s="1123"/>
      <c r="K152" s="1083"/>
      <c r="L152" s="1083"/>
      <c r="M152" s="1083"/>
      <c r="N152" s="1083"/>
      <c r="O152" s="1083"/>
      <c r="P152" s="1083"/>
      <c r="Q152" s="1119"/>
      <c r="S152" s="645"/>
      <c r="T152" s="645"/>
      <c r="U152" s="645"/>
      <c r="V152" s="645"/>
      <c r="W152" s="645"/>
      <c r="X152" s="645"/>
      <c r="Y152" s="645"/>
      <c r="Z152" s="645"/>
      <c r="AA152" s="645"/>
      <c r="AB152" s="645"/>
      <c r="AC152" s="645"/>
    </row>
    <row r="153" spans="1:29" ht="15.75" customHeight="1">
      <c r="A153" s="277"/>
      <c r="B153" s="277"/>
      <c r="C153" s="277"/>
      <c r="D153" s="277"/>
      <c r="E153" s="325"/>
      <c r="F153" s="277"/>
      <c r="G153" s="185"/>
      <c r="H153" s="185"/>
      <c r="I153" s="185"/>
      <c r="J153" s="185"/>
      <c r="K153" s="186"/>
      <c r="L153" s="185"/>
      <c r="M153" s="185"/>
      <c r="N153" s="185"/>
      <c r="O153" s="185"/>
      <c r="P153" s="185"/>
      <c r="Q153" s="185"/>
      <c r="S153" s="645"/>
      <c r="T153" s="645"/>
      <c r="U153" s="645"/>
      <c r="V153" s="645"/>
      <c r="W153" s="645"/>
      <c r="X153" s="645"/>
      <c r="Y153" s="645"/>
      <c r="Z153" s="645"/>
      <c r="AA153" s="645"/>
      <c r="AB153" s="645"/>
      <c r="AC153" s="645"/>
    </row>
    <row r="154" spans="1:29" ht="15.75" customHeight="1">
      <c r="A154" s="277"/>
      <c r="B154" s="277"/>
      <c r="C154" s="277"/>
      <c r="D154" s="277"/>
      <c r="E154" s="325"/>
      <c r="F154" s="277"/>
      <c r="G154" s="185"/>
      <c r="H154" s="185"/>
      <c r="I154" s="185"/>
      <c r="J154" s="185"/>
      <c r="K154" s="186"/>
      <c r="L154" s="185"/>
      <c r="M154" s="185"/>
      <c r="N154" s="185"/>
      <c r="O154" s="185"/>
      <c r="P154" s="185"/>
      <c r="Q154" s="185"/>
      <c r="S154" s="645"/>
      <c r="T154" s="645"/>
      <c r="U154" s="645"/>
      <c r="V154" s="645"/>
      <c r="W154" s="645"/>
      <c r="X154" s="645"/>
      <c r="Y154" s="645"/>
      <c r="Z154" s="645"/>
      <c r="AA154" s="645"/>
      <c r="AB154" s="645"/>
      <c r="AC154" s="645"/>
    </row>
    <row r="155" spans="1:29" ht="21.2" customHeight="1" thickBot="1">
      <c r="A155" s="359" t="s">
        <v>224</v>
      </c>
      <c r="G155" s="183"/>
      <c r="H155" s="183"/>
      <c r="I155" s="183"/>
      <c r="J155" s="183"/>
      <c r="K155" s="183"/>
      <c r="L155" s="183"/>
      <c r="M155" s="183"/>
      <c r="N155" s="183"/>
      <c r="O155" s="183"/>
      <c r="P155" s="183"/>
      <c r="Q155" s="183"/>
      <c r="S155" s="645"/>
      <c r="T155" s="645"/>
      <c r="U155" s="645"/>
      <c r="V155" s="645"/>
      <c r="W155" s="645"/>
      <c r="X155" s="645"/>
      <c r="Y155" s="645"/>
      <c r="Z155" s="645"/>
      <c r="AA155" s="645"/>
      <c r="AB155" s="645"/>
      <c r="AC155" s="645"/>
    </row>
    <row r="156" spans="1:29" ht="39.200000000000003" customHeight="1">
      <c r="A156" s="1084" t="s">
        <v>10</v>
      </c>
      <c r="B156" s="1085"/>
      <c r="C156" s="1085"/>
      <c r="D156" s="1085"/>
      <c r="E156" s="1085"/>
      <c r="F156" s="1086"/>
      <c r="G156" s="391" t="s">
        <v>125</v>
      </c>
      <c r="H156" s="822" t="s">
        <v>520</v>
      </c>
      <c r="I156" s="822" t="s">
        <v>536</v>
      </c>
      <c r="J156" s="1087" t="s">
        <v>140</v>
      </c>
      <c r="K156" s="1087"/>
      <c r="L156" s="1087"/>
      <c r="M156" s="1087"/>
      <c r="N156" s="1087"/>
      <c r="O156" s="1087"/>
      <c r="P156" s="1087"/>
      <c r="Q156" s="1139"/>
      <c r="S156" s="645"/>
      <c r="T156" s="645"/>
      <c r="U156" s="645"/>
      <c r="V156" s="645"/>
      <c r="W156" s="645"/>
      <c r="X156" s="645"/>
      <c r="Y156" s="645"/>
      <c r="Z156" s="645"/>
      <c r="AA156" s="645"/>
      <c r="AB156" s="645"/>
      <c r="AC156" s="645"/>
    </row>
    <row r="157" spans="1:29" ht="15.75" customHeight="1">
      <c r="A157" s="658">
        <v>45</v>
      </c>
      <c r="B157" s="252" t="s">
        <v>224</v>
      </c>
      <c r="C157" s="318"/>
      <c r="D157" s="259"/>
      <c r="E157" s="319"/>
      <c r="F157" s="286"/>
      <c r="G157" s="185"/>
      <c r="H157" s="185"/>
      <c r="I157" s="185"/>
      <c r="J157" s="185"/>
      <c r="K157" s="185"/>
      <c r="L157" s="185"/>
      <c r="M157" s="185"/>
      <c r="N157" s="185"/>
      <c r="O157" s="185"/>
      <c r="P157" s="185"/>
      <c r="Q157" s="377"/>
      <c r="S157" s="645"/>
      <c r="T157" s="645"/>
      <c r="U157" s="645"/>
      <c r="V157" s="645"/>
      <c r="W157" s="645"/>
      <c r="X157" s="645"/>
      <c r="Y157" s="645"/>
      <c r="Z157" s="645"/>
      <c r="AA157" s="645"/>
      <c r="AB157" s="645"/>
      <c r="AC157" s="645"/>
    </row>
    <row r="158" spans="1:29" ht="15.75" customHeight="1">
      <c r="A158" s="296"/>
      <c r="B158" s="277"/>
      <c r="C158" s="756"/>
      <c r="D158" s="269"/>
      <c r="E158" s="269" t="s">
        <v>365</v>
      </c>
      <c r="F158" s="314"/>
      <c r="G158" s="407"/>
      <c r="H158" s="1080"/>
      <c r="I158" s="1081"/>
      <c r="J158" s="1081"/>
      <c r="K158" s="1081"/>
      <c r="L158" s="1081"/>
      <c r="M158" s="1081"/>
      <c r="N158" s="1081"/>
      <c r="O158" s="1081"/>
      <c r="P158" s="1081"/>
      <c r="Q158" s="1113"/>
      <c r="S158" s="645"/>
      <c r="T158" s="645"/>
      <c r="U158" s="645"/>
      <c r="V158" s="645"/>
      <c r="W158" s="645"/>
      <c r="X158" s="645"/>
      <c r="Y158" s="645"/>
      <c r="Z158" s="645"/>
      <c r="AA158" s="645"/>
      <c r="AB158" s="645"/>
      <c r="AC158" s="645"/>
    </row>
    <row r="159" spans="1:29" ht="26.45" customHeight="1">
      <c r="A159" s="296"/>
      <c r="B159" s="277"/>
      <c r="C159" s="756" t="s">
        <v>966</v>
      </c>
      <c r="D159" s="1044">
        <f>+H159</f>
        <v>16613157.257920001</v>
      </c>
      <c r="E159" s="563">
        <f>'ATT H-2A'!H35</f>
        <v>0.23198168156889939</v>
      </c>
      <c r="F159" s="564">
        <f>+D159*E159</f>
        <v>3853948.1568608475</v>
      </c>
      <c r="G159" s="988">
        <v>22153214.515000001</v>
      </c>
      <c r="H159" s="538">
        <v>16613157.257920001</v>
      </c>
      <c r="I159" s="575">
        <f>G159-H159</f>
        <v>5540057.2570799999</v>
      </c>
      <c r="J159" s="1137" t="s">
        <v>695</v>
      </c>
      <c r="K159" s="1137"/>
      <c r="L159" s="1137"/>
      <c r="M159" s="1137"/>
      <c r="N159" s="1137"/>
      <c r="O159" s="1137"/>
      <c r="P159" s="1137"/>
      <c r="Q159" s="1138"/>
      <c r="S159" s="645"/>
      <c r="T159" s="645"/>
      <c r="U159" s="645"/>
      <c r="V159" s="645"/>
      <c r="W159" s="645"/>
      <c r="X159" s="645"/>
      <c r="Y159" s="645"/>
      <c r="Z159" s="645"/>
      <c r="AA159" s="645"/>
      <c r="AB159" s="645"/>
      <c r="AC159" s="645"/>
    </row>
    <row r="160" spans="1:29" ht="39.200000000000003" customHeight="1">
      <c r="A160" s="296"/>
      <c r="B160" s="277"/>
      <c r="C160" s="756" t="s">
        <v>236</v>
      </c>
      <c r="D160" s="1044">
        <f>+H160</f>
        <v>211473113.96311998</v>
      </c>
      <c r="E160" s="565">
        <f>'ATT H-2A'!H16</f>
        <v>0.17040128500007015</v>
      </c>
      <c r="F160" s="564">
        <f>+D160*E160</f>
        <v>36035290.362281926</v>
      </c>
      <c r="G160" s="1036">
        <v>297012800.50999999</v>
      </c>
      <c r="H160" s="538">
        <f>G160*0.712</f>
        <v>211473113.96311998</v>
      </c>
      <c r="I160" s="538">
        <f>G160-H160</f>
        <v>85539686.546880007</v>
      </c>
      <c r="J160" s="1107" t="s">
        <v>995</v>
      </c>
      <c r="K160" s="1107"/>
      <c r="L160" s="1107"/>
      <c r="M160" s="1107"/>
      <c r="N160" s="1107"/>
      <c r="O160" s="1107"/>
      <c r="P160" s="1107"/>
      <c r="Q160" s="1114"/>
      <c r="S160" s="645"/>
      <c r="T160" s="645"/>
      <c r="U160" s="645"/>
      <c r="V160" s="645"/>
      <c r="W160" s="645"/>
      <c r="X160" s="645"/>
      <c r="Y160" s="645"/>
      <c r="Z160" s="645"/>
      <c r="AA160" s="645"/>
      <c r="AB160" s="645"/>
      <c r="AC160" s="645"/>
    </row>
    <row r="161" spans="1:29" ht="15.75" customHeight="1">
      <c r="A161" s="296"/>
      <c r="B161" s="277"/>
      <c r="C161" s="756"/>
      <c r="D161" s="596"/>
      <c r="E161" s="565"/>
      <c r="F161" s="564"/>
      <c r="G161" s="576"/>
      <c r="H161" s="538"/>
      <c r="I161" s="538"/>
      <c r="J161" s="536"/>
      <c r="K161" s="824"/>
      <c r="L161" s="824"/>
      <c r="M161" s="824"/>
      <c r="N161" s="824"/>
      <c r="O161" s="824"/>
      <c r="P161" s="824"/>
      <c r="Q161" s="828"/>
      <c r="S161" s="645"/>
      <c r="T161" s="645"/>
      <c r="U161" s="645"/>
      <c r="V161" s="645"/>
      <c r="W161" s="645"/>
      <c r="X161" s="645"/>
      <c r="Y161" s="645"/>
      <c r="Z161" s="645"/>
      <c r="AA161" s="645"/>
      <c r="AB161" s="645"/>
      <c r="AC161" s="645"/>
    </row>
    <row r="162" spans="1:29" ht="15.75" customHeight="1" thickBot="1">
      <c r="A162" s="349"/>
      <c r="B162" s="354"/>
      <c r="C162" s="985" t="s">
        <v>83</v>
      </c>
      <c r="D162" s="597"/>
      <c r="E162" s="598"/>
      <c r="F162" s="599">
        <f>SUM(F159:F161)</f>
        <v>39889238.519142777</v>
      </c>
      <c r="G162" s="392"/>
      <c r="H162" s="826"/>
      <c r="I162" s="827"/>
      <c r="J162" s="600"/>
      <c r="K162" s="827"/>
      <c r="L162" s="827"/>
      <c r="M162" s="827"/>
      <c r="N162" s="827"/>
      <c r="O162" s="827"/>
      <c r="P162" s="827"/>
      <c r="Q162" s="829"/>
      <c r="S162" s="645"/>
      <c r="T162" s="645"/>
      <c r="U162" s="645"/>
      <c r="V162" s="645"/>
      <c r="W162" s="645"/>
      <c r="X162" s="645"/>
      <c r="Y162" s="645"/>
      <c r="Z162" s="645"/>
      <c r="AA162" s="645"/>
      <c r="AB162" s="645"/>
      <c r="AC162" s="645"/>
    </row>
    <row r="163" spans="1:29" ht="15.75">
      <c r="A163" s="277"/>
      <c r="B163" s="277"/>
      <c r="C163" s="631"/>
      <c r="D163" s="596"/>
      <c r="E163" s="566"/>
      <c r="F163" s="566"/>
      <c r="G163" s="229"/>
      <c r="H163" s="825"/>
      <c r="I163" s="824"/>
      <c r="J163" s="536"/>
      <c r="K163" s="824"/>
      <c r="L163" s="824"/>
      <c r="M163" s="824"/>
      <c r="N163" s="824"/>
      <c r="O163" s="824"/>
      <c r="P163" s="824"/>
      <c r="Q163" s="824"/>
      <c r="S163" s="645"/>
      <c r="T163" s="645"/>
      <c r="U163" s="645"/>
      <c r="V163" s="645"/>
      <c r="W163" s="645"/>
      <c r="X163" s="645"/>
      <c r="Y163" s="645"/>
      <c r="Z163" s="645"/>
      <c r="AA163" s="645"/>
      <c r="AB163" s="645"/>
      <c r="AC163" s="645"/>
    </row>
    <row r="164" spans="1:29" ht="21" thickBot="1">
      <c r="A164" s="602" t="s">
        <v>240</v>
      </c>
      <c r="B164" s="277"/>
      <c r="C164" s="277"/>
      <c r="D164" s="277"/>
      <c r="E164" s="325"/>
      <c r="F164" s="277"/>
      <c r="G164" s="185"/>
      <c r="H164" s="185"/>
      <c r="I164" s="185"/>
      <c r="J164" s="185"/>
      <c r="K164" s="186"/>
      <c r="L164" s="185"/>
      <c r="M164" s="185"/>
      <c r="N164" s="185"/>
      <c r="O164" s="185"/>
      <c r="P164" s="185"/>
      <c r="Q164" s="185"/>
      <c r="S164" s="645"/>
      <c r="T164" s="645"/>
      <c r="U164" s="645"/>
      <c r="V164" s="645"/>
      <c r="W164" s="645"/>
      <c r="X164" s="645"/>
      <c r="Y164" s="645"/>
      <c r="Z164" s="645"/>
      <c r="AA164" s="645"/>
      <c r="AB164" s="645"/>
      <c r="AC164" s="645"/>
    </row>
    <row r="165" spans="1:29" ht="15.75" customHeight="1">
      <c r="A165" s="1084" t="s">
        <v>10</v>
      </c>
      <c r="B165" s="1085"/>
      <c r="C165" s="1085"/>
      <c r="D165" s="1085"/>
      <c r="E165" s="1085"/>
      <c r="F165" s="1086"/>
      <c r="G165" s="742" t="s">
        <v>94</v>
      </c>
      <c r="H165" s="603" t="s">
        <v>241</v>
      </c>
      <c r="I165" s="603" t="s">
        <v>647</v>
      </c>
      <c r="J165" s="603" t="s">
        <v>242</v>
      </c>
      <c r="K165" s="604"/>
      <c r="L165" s="603"/>
      <c r="M165" s="603"/>
      <c r="N165" s="603"/>
      <c r="O165" s="603"/>
      <c r="P165" s="603"/>
      <c r="Q165" s="472"/>
      <c r="S165" s="645"/>
      <c r="T165" s="645"/>
      <c r="U165" s="645"/>
      <c r="V165" s="645"/>
      <c r="W165" s="645"/>
      <c r="X165" s="645"/>
      <c r="Y165" s="645"/>
      <c r="Z165" s="645"/>
      <c r="AA165" s="645"/>
      <c r="AB165" s="645"/>
      <c r="AC165" s="645"/>
    </row>
    <row r="166" spans="1:29" ht="15.75" customHeight="1">
      <c r="A166" s="296">
        <v>61</v>
      </c>
      <c r="B166" s="277"/>
      <c r="C166" s="260" t="str">
        <f>'ATT H-2A'!C114</f>
        <v>Less extraordinary property losses</v>
      </c>
      <c r="D166" s="277"/>
      <c r="E166" s="277"/>
      <c r="F166" s="375" t="s">
        <v>57</v>
      </c>
      <c r="G166" s="605"/>
      <c r="H166" s="185"/>
      <c r="I166" s="185"/>
      <c r="J166" s="185"/>
      <c r="K166" s="186"/>
      <c r="L166" s="185"/>
      <c r="M166" s="185"/>
      <c r="N166" s="185"/>
      <c r="O166" s="185"/>
      <c r="P166" s="185"/>
      <c r="Q166" s="377"/>
      <c r="S166" s="645"/>
      <c r="T166" s="645"/>
      <c r="U166" s="645"/>
      <c r="V166" s="645"/>
      <c r="W166" s="645"/>
      <c r="X166" s="645"/>
      <c r="Y166" s="645"/>
      <c r="Z166" s="645"/>
      <c r="AA166" s="645"/>
      <c r="AB166" s="645"/>
      <c r="AC166" s="645"/>
    </row>
    <row r="167" spans="1:29" ht="24" customHeight="1" thickBot="1">
      <c r="A167" s="349">
        <v>62</v>
      </c>
      <c r="B167" s="354"/>
      <c r="C167" s="361" t="str">
        <f>'ATT H-2A'!C115</f>
        <v>Plus amotization of extraordinary property losses</v>
      </c>
      <c r="D167" s="354"/>
      <c r="E167" s="354"/>
      <c r="F167" s="376" t="s">
        <v>57</v>
      </c>
      <c r="G167" s="384"/>
      <c r="H167" s="378">
        <v>5</v>
      </c>
      <c r="I167" s="606">
        <f>G166/H167</f>
        <v>0</v>
      </c>
      <c r="J167" s="606">
        <f>I167-ISPMT('ATT H-2A'!H211,1, H167,'5 - Cost Support'!G166)</f>
        <v>0</v>
      </c>
      <c r="K167" s="393"/>
      <c r="L167" s="378"/>
      <c r="M167" s="378"/>
      <c r="N167" s="378"/>
      <c r="O167" s="378"/>
      <c r="P167" s="378"/>
      <c r="Q167" s="385"/>
      <c r="S167" s="645"/>
      <c r="T167" s="645"/>
      <c r="U167" s="645"/>
      <c r="V167" s="645"/>
      <c r="W167" s="645"/>
      <c r="X167" s="645"/>
      <c r="Y167" s="645"/>
      <c r="Z167" s="645"/>
      <c r="AA167" s="645"/>
      <c r="AB167" s="645"/>
      <c r="AC167" s="645"/>
    </row>
    <row r="168" spans="1:29" ht="12.75" customHeight="1">
      <c r="A168" s="756"/>
      <c r="B168" s="756"/>
      <c r="C168" s="756"/>
      <c r="D168" s="756"/>
      <c r="E168" s="756"/>
      <c r="F168" s="756"/>
      <c r="G168" s="185"/>
      <c r="H168" s="185"/>
      <c r="I168" s="185"/>
      <c r="J168" s="185"/>
      <c r="K168" s="186"/>
      <c r="L168" s="185"/>
      <c r="M168" s="185"/>
      <c r="N168" s="185"/>
      <c r="O168" s="185"/>
      <c r="P168" s="185"/>
      <c r="Q168" s="185"/>
      <c r="S168" s="645"/>
      <c r="T168" s="645"/>
      <c r="U168" s="645"/>
      <c r="V168" s="645"/>
      <c r="W168" s="645"/>
      <c r="X168" s="645"/>
      <c r="Y168" s="645"/>
      <c r="Z168" s="645"/>
      <c r="AA168" s="645"/>
      <c r="AB168" s="645"/>
      <c r="AC168" s="645"/>
    </row>
    <row r="169" spans="1:29" ht="20.100000000000001" customHeight="1">
      <c r="A169" s="419"/>
      <c r="B169" s="258"/>
      <c r="D169" s="152"/>
      <c r="E169" s="153"/>
      <c r="F169" s="154"/>
      <c r="G169" s="607"/>
      <c r="H169" s="183"/>
      <c r="I169" s="183"/>
      <c r="J169" s="183"/>
      <c r="K169" s="183"/>
      <c r="L169" s="183"/>
      <c r="M169" s="183"/>
      <c r="N169" s="183"/>
      <c r="O169" s="183"/>
      <c r="P169" s="183"/>
      <c r="Q169" s="506"/>
      <c r="S169" s="645"/>
      <c r="T169" s="645"/>
      <c r="U169" s="645"/>
      <c r="V169" s="645"/>
      <c r="W169" s="645"/>
      <c r="X169" s="645"/>
      <c r="Y169" s="645"/>
      <c r="Z169" s="645"/>
      <c r="AA169" s="645"/>
      <c r="AB169" s="645"/>
      <c r="AC169" s="645"/>
    </row>
    <row r="170" spans="1:29" ht="21.2" customHeight="1">
      <c r="A170" s="756"/>
      <c r="B170" s="756"/>
      <c r="C170" s="756"/>
      <c r="D170" s="756"/>
      <c r="E170" s="756"/>
      <c r="F170" s="756"/>
      <c r="G170" s="185"/>
      <c r="H170" s="185"/>
      <c r="I170" s="185"/>
      <c r="J170" s="185"/>
      <c r="K170" s="186"/>
      <c r="L170" s="185"/>
      <c r="M170" s="185"/>
      <c r="N170" s="185"/>
      <c r="O170" s="185"/>
      <c r="P170" s="318"/>
      <c r="Q170" s="185"/>
      <c r="S170" s="645"/>
      <c r="T170" s="645"/>
      <c r="U170" s="645"/>
      <c r="V170" s="645"/>
      <c r="W170" s="645"/>
      <c r="X170" s="645"/>
      <c r="Y170" s="645"/>
      <c r="Z170" s="645"/>
      <c r="AA170" s="645"/>
      <c r="AB170" s="645"/>
      <c r="AC170" s="645"/>
    </row>
    <row r="171" spans="1:29" ht="21.2" customHeight="1" thickBot="1">
      <c r="A171" s="359" t="s">
        <v>629</v>
      </c>
      <c r="G171" s="183"/>
      <c r="H171" s="183"/>
      <c r="I171" s="183"/>
      <c r="J171" s="183"/>
      <c r="K171" s="183"/>
      <c r="L171" s="183"/>
      <c r="M171" s="183"/>
      <c r="N171" s="183"/>
      <c r="O171" s="183"/>
      <c r="P171" s="183"/>
      <c r="Q171" s="183"/>
      <c r="S171" s="645"/>
      <c r="T171" s="645"/>
      <c r="U171" s="645"/>
      <c r="V171" s="645"/>
      <c r="W171" s="645"/>
      <c r="X171" s="645"/>
      <c r="Y171" s="645"/>
      <c r="Z171" s="645"/>
      <c r="AA171" s="645"/>
      <c r="AB171" s="645"/>
      <c r="AC171" s="645"/>
    </row>
    <row r="172" spans="1:29" ht="26.45" customHeight="1">
      <c r="A172" s="1084" t="s">
        <v>10</v>
      </c>
      <c r="B172" s="1085"/>
      <c r="C172" s="1085"/>
      <c r="D172" s="1085"/>
      <c r="E172" s="1085"/>
      <c r="F172" s="1086"/>
      <c r="G172" s="391" t="str">
        <f>+C174</f>
        <v>Outstanding Network Credits</v>
      </c>
      <c r="H172" s="1087" t="s">
        <v>560</v>
      </c>
      <c r="I172" s="1088"/>
      <c r="J172" s="1088"/>
      <c r="K172" s="1088"/>
      <c r="L172" s="1088"/>
      <c r="M172" s="1088"/>
      <c r="N172" s="1088"/>
      <c r="O172" s="1088"/>
      <c r="P172" s="1088"/>
      <c r="Q172" s="1124"/>
      <c r="S172" s="645"/>
      <c r="T172" s="645"/>
      <c r="U172" s="645"/>
      <c r="V172" s="645"/>
      <c r="W172" s="645"/>
      <c r="X172" s="645"/>
      <c r="Y172" s="645"/>
      <c r="Z172" s="645"/>
      <c r="AA172" s="645"/>
      <c r="AB172" s="645"/>
      <c r="AC172" s="645"/>
    </row>
    <row r="173" spans="1:29" ht="15.75" customHeight="1">
      <c r="A173" s="317"/>
      <c r="B173" s="252" t="s">
        <v>506</v>
      </c>
      <c r="C173" s="318"/>
      <c r="D173" s="259"/>
      <c r="E173" s="319"/>
      <c r="F173" s="286"/>
      <c r="G173" s="379"/>
      <c r="H173" s="185"/>
      <c r="I173" s="185"/>
      <c r="J173" s="185"/>
      <c r="K173" s="185"/>
      <c r="L173" s="185"/>
      <c r="M173" s="185"/>
      <c r="N173" s="185"/>
      <c r="O173" s="185"/>
      <c r="P173" s="185"/>
      <c r="Q173" s="377"/>
      <c r="S173" s="645"/>
      <c r="T173" s="645"/>
      <c r="U173" s="645"/>
      <c r="V173" s="645"/>
      <c r="W173" s="645"/>
      <c r="X173" s="645"/>
      <c r="Y173" s="645"/>
      <c r="Z173" s="645"/>
      <c r="AA173" s="645"/>
      <c r="AB173" s="645"/>
      <c r="AC173" s="645"/>
    </row>
    <row r="174" spans="1:29" ht="15.75" customHeight="1">
      <c r="A174" s="296">
        <v>55</v>
      </c>
      <c r="B174" s="277"/>
      <c r="C174" s="260" t="str">
        <f>'Exh F - AA-BL Items'!C94</f>
        <v>Outstanding Network Credits</v>
      </c>
      <c r="D174" s="277"/>
      <c r="E174" s="325" t="str">
        <f>'Exh F - AA-BL Items'!E94</f>
        <v>(Note N)</v>
      </c>
      <c r="F174" s="375" t="str">
        <f>'Exh F - AA-BL Items'!F94</f>
        <v>From PJM</v>
      </c>
      <c r="G174" s="382">
        <v>0</v>
      </c>
      <c r="H174" s="1080" t="s">
        <v>558</v>
      </c>
      <c r="I174" s="1081"/>
      <c r="J174" s="1081"/>
      <c r="K174" s="1081"/>
      <c r="L174" s="1081"/>
      <c r="M174" s="1081"/>
      <c r="N174" s="1081"/>
      <c r="O174" s="1081"/>
      <c r="P174" s="1081"/>
      <c r="Q174" s="1113"/>
      <c r="S174" s="645"/>
      <c r="T174" s="645"/>
      <c r="U174" s="645"/>
      <c r="V174" s="645"/>
      <c r="W174" s="645"/>
      <c r="X174" s="645"/>
      <c r="Y174" s="645"/>
      <c r="Z174" s="645"/>
      <c r="AA174" s="645"/>
      <c r="AB174" s="645"/>
      <c r="AC174" s="645"/>
    </row>
    <row r="175" spans="1:29" ht="15.75" customHeight="1">
      <c r="A175" s="296"/>
      <c r="B175" s="277"/>
      <c r="C175" s="277"/>
      <c r="D175" s="277"/>
      <c r="E175" s="325"/>
      <c r="F175" s="375"/>
      <c r="G175" s="379"/>
      <c r="H175" s="185"/>
      <c r="I175" s="185"/>
      <c r="J175" s="185"/>
      <c r="K175" s="185"/>
      <c r="L175" s="185"/>
      <c r="M175" s="185"/>
      <c r="N175" s="185"/>
      <c r="O175" s="229"/>
      <c r="P175" s="185"/>
      <c r="Q175" s="377"/>
      <c r="S175" s="645"/>
      <c r="T175" s="645"/>
      <c r="U175" s="645"/>
      <c r="V175" s="645"/>
      <c r="W175" s="645"/>
      <c r="X175" s="645"/>
      <c r="Y175" s="645"/>
      <c r="Z175" s="645"/>
      <c r="AA175" s="645"/>
      <c r="AB175" s="645"/>
      <c r="AC175" s="645"/>
    </row>
    <row r="176" spans="1:29" ht="15.75" customHeight="1">
      <c r="A176" s="296"/>
      <c r="B176" s="277"/>
      <c r="C176" s="277"/>
      <c r="D176" s="277"/>
      <c r="E176" s="325"/>
      <c r="F176" s="375"/>
      <c r="G176" s="381" t="s">
        <v>552</v>
      </c>
      <c r="H176" s="1080" t="s">
        <v>39</v>
      </c>
      <c r="I176" s="1081"/>
      <c r="J176" s="1081"/>
      <c r="K176" s="1081"/>
      <c r="L176" s="1081"/>
      <c r="M176" s="1081"/>
      <c r="N176" s="1081"/>
      <c r="O176" s="1081"/>
      <c r="P176" s="1081"/>
      <c r="Q176" s="1113"/>
      <c r="S176" s="645"/>
      <c r="T176" s="645"/>
      <c r="U176" s="645"/>
      <c r="V176" s="645"/>
      <c r="W176" s="645"/>
      <c r="X176" s="645"/>
      <c r="Y176" s="645"/>
      <c r="Z176" s="645"/>
      <c r="AA176" s="645"/>
      <c r="AB176" s="645"/>
      <c r="AC176" s="645"/>
    </row>
    <row r="177" spans="1:29" ht="15.75" customHeight="1">
      <c r="A177" s="296"/>
      <c r="B177" s="277"/>
      <c r="C177" s="277"/>
      <c r="D177" s="277"/>
      <c r="E177" s="325"/>
      <c r="F177" s="375"/>
      <c r="G177" s="381"/>
      <c r="H177" s="1080"/>
      <c r="I177" s="1081"/>
      <c r="J177" s="1081"/>
      <c r="K177" s="1081"/>
      <c r="L177" s="1081"/>
      <c r="M177" s="1081"/>
      <c r="N177" s="1081"/>
      <c r="O177" s="1081"/>
      <c r="P177" s="1081"/>
      <c r="Q177" s="1113"/>
      <c r="S177" s="645"/>
      <c r="T177" s="645"/>
      <c r="U177" s="645"/>
      <c r="V177" s="645"/>
      <c r="W177" s="645"/>
      <c r="X177" s="645"/>
      <c r="Y177" s="645"/>
      <c r="Z177" s="645"/>
      <c r="AA177" s="645"/>
      <c r="AB177" s="645"/>
      <c r="AC177" s="645"/>
    </row>
    <row r="178" spans="1:29" ht="15.75" customHeight="1">
      <c r="A178" s="296"/>
      <c r="B178" s="277"/>
      <c r="C178" s="277"/>
      <c r="D178" s="277"/>
      <c r="E178" s="325"/>
      <c r="F178" s="375"/>
      <c r="G178" s="381"/>
      <c r="H178" s="1080"/>
      <c r="I178" s="1081"/>
      <c r="J178" s="1081"/>
      <c r="K178" s="1081"/>
      <c r="L178" s="1081"/>
      <c r="M178" s="1081"/>
      <c r="N178" s="1081"/>
      <c r="O178" s="1081"/>
      <c r="P178" s="1081"/>
      <c r="Q178" s="1113"/>
      <c r="S178" s="645"/>
      <c r="T178" s="645"/>
      <c r="U178" s="645"/>
      <c r="V178" s="645"/>
      <c r="W178" s="645"/>
      <c r="X178" s="645"/>
      <c r="Y178" s="645"/>
      <c r="Z178" s="645"/>
      <c r="AA178" s="645"/>
      <c r="AB178" s="645"/>
      <c r="AC178" s="645"/>
    </row>
    <row r="179" spans="1:29" ht="15.75" customHeight="1">
      <c r="A179" s="296">
        <v>56</v>
      </c>
      <c r="B179" s="277"/>
      <c r="C179" s="260" t="str">
        <f>+'ATT H-2A'!C103</f>
        <v xml:space="preserve">    Less Accumulated Depreciation Associated with Facilities with Outstanding Network Credits</v>
      </c>
      <c r="D179" s="277"/>
      <c r="E179" s="260" t="str">
        <f>+'ATT H-2A'!E103</f>
        <v>(Note N)</v>
      </c>
      <c r="F179" s="277" t="str">
        <f>+'ATT H-2A'!F103</f>
        <v>From PJM</v>
      </c>
      <c r="G179" s="381">
        <v>0</v>
      </c>
      <c r="H179" s="1080"/>
      <c r="I179" s="1081"/>
      <c r="J179" s="1081"/>
      <c r="K179" s="1081"/>
      <c r="L179" s="1081"/>
      <c r="M179" s="1081"/>
      <c r="N179" s="1081"/>
      <c r="O179" s="1081"/>
      <c r="P179" s="1081"/>
      <c r="Q179" s="1113"/>
      <c r="S179" s="645"/>
      <c r="T179" s="645"/>
      <c r="U179" s="645"/>
      <c r="V179" s="645"/>
      <c r="W179" s="645"/>
      <c r="X179" s="645"/>
      <c r="Y179" s="645"/>
      <c r="Z179" s="645"/>
      <c r="AA179" s="645"/>
      <c r="AB179" s="645"/>
      <c r="AC179" s="645"/>
    </row>
    <row r="180" spans="1:29" ht="15.75" customHeight="1">
      <c r="A180" s="296"/>
      <c r="B180" s="277"/>
      <c r="C180" s="277"/>
      <c r="D180" s="277"/>
      <c r="E180" s="325"/>
      <c r="F180" s="375"/>
      <c r="G180" s="381"/>
      <c r="H180" s="1080"/>
      <c r="I180" s="1081"/>
      <c r="J180" s="1081"/>
      <c r="K180" s="1081"/>
      <c r="L180" s="1081"/>
      <c r="M180" s="1081"/>
      <c r="N180" s="1081"/>
      <c r="O180" s="1081"/>
      <c r="P180" s="1081"/>
      <c r="Q180" s="1113"/>
      <c r="S180" s="645"/>
      <c r="T180" s="645"/>
      <c r="U180" s="645"/>
      <c r="V180" s="645"/>
      <c r="W180" s="645"/>
      <c r="X180" s="645"/>
      <c r="Y180" s="645"/>
      <c r="Z180" s="645"/>
      <c r="AA180" s="645"/>
      <c r="AB180" s="645"/>
      <c r="AC180" s="645"/>
    </row>
    <row r="181" spans="1:29" ht="15.75" customHeight="1">
      <c r="A181" s="296"/>
      <c r="B181" s="277"/>
      <c r="C181" s="277"/>
      <c r="D181" s="277"/>
      <c r="E181" s="325"/>
      <c r="F181" s="375"/>
      <c r="G181" s="381" t="s">
        <v>552</v>
      </c>
      <c r="H181" s="1080" t="s">
        <v>39</v>
      </c>
      <c r="I181" s="1081"/>
      <c r="J181" s="1081"/>
      <c r="K181" s="1081"/>
      <c r="L181" s="1081"/>
      <c r="M181" s="1081"/>
      <c r="N181" s="1081"/>
      <c r="O181" s="1081"/>
      <c r="P181" s="1081"/>
      <c r="Q181" s="1113"/>
      <c r="S181" s="645"/>
      <c r="T181" s="645"/>
      <c r="U181" s="645"/>
      <c r="V181" s="645"/>
      <c r="W181" s="645"/>
      <c r="X181" s="645"/>
      <c r="Y181" s="645"/>
      <c r="Z181" s="645"/>
      <c r="AA181" s="645"/>
      <c r="AB181" s="645"/>
      <c r="AC181" s="645"/>
    </row>
    <row r="182" spans="1:29" ht="15.75" customHeight="1">
      <c r="A182" s="296"/>
      <c r="B182" s="277"/>
      <c r="C182" s="277"/>
      <c r="D182" s="277"/>
      <c r="E182" s="325"/>
      <c r="F182" s="375"/>
      <c r="G182" s="381"/>
      <c r="H182" s="1080"/>
      <c r="I182" s="1081"/>
      <c r="J182" s="1081"/>
      <c r="K182" s="1081"/>
      <c r="L182" s="1081"/>
      <c r="M182" s="1081"/>
      <c r="N182" s="1081"/>
      <c r="O182" s="1081"/>
      <c r="P182" s="1081"/>
      <c r="Q182" s="1113"/>
      <c r="S182" s="645"/>
      <c r="T182" s="645"/>
      <c r="U182" s="645"/>
      <c r="V182" s="645"/>
      <c r="W182" s="645"/>
      <c r="X182" s="645"/>
      <c r="Y182" s="645"/>
      <c r="Z182" s="645"/>
      <c r="AA182" s="645"/>
      <c r="AB182" s="645"/>
      <c r="AC182" s="645"/>
    </row>
    <row r="183" spans="1:29" ht="16.5" customHeight="1" thickBot="1">
      <c r="A183" s="349"/>
      <c r="B183" s="354"/>
      <c r="C183" s="354"/>
      <c r="D183" s="354"/>
      <c r="E183" s="362"/>
      <c r="F183" s="376"/>
      <c r="G183" s="384"/>
      <c r="H183" s="378"/>
      <c r="I183" s="378"/>
      <c r="J183" s="378"/>
      <c r="K183" s="393" t="s">
        <v>555</v>
      </c>
      <c r="L183" s="378"/>
      <c r="M183" s="378"/>
      <c r="N183" s="378"/>
      <c r="O183" s="378"/>
      <c r="P183" s="378"/>
      <c r="Q183" s="385"/>
      <c r="S183" s="645"/>
      <c r="T183" s="645"/>
      <c r="U183" s="645"/>
      <c r="V183" s="645"/>
      <c r="W183" s="645"/>
      <c r="X183" s="645"/>
      <c r="Y183" s="645"/>
      <c r="Z183" s="645"/>
      <c r="AA183" s="645"/>
      <c r="AB183" s="645"/>
      <c r="AC183" s="645"/>
    </row>
    <row r="184" spans="1:29" ht="15.75" customHeight="1">
      <c r="A184" s="277"/>
      <c r="B184" s="277"/>
      <c r="C184" s="277"/>
      <c r="D184" s="277"/>
      <c r="E184" s="325"/>
      <c r="F184" s="277"/>
      <c r="G184" s="185"/>
      <c r="H184" s="185"/>
      <c r="I184" s="185"/>
      <c r="J184" s="185"/>
      <c r="K184" s="186"/>
      <c r="L184" s="185"/>
      <c r="M184" s="185"/>
      <c r="N184" s="185"/>
      <c r="O184" s="185"/>
      <c r="P184" s="185"/>
      <c r="Q184" s="185"/>
      <c r="S184" s="645"/>
      <c r="T184" s="645"/>
      <c r="U184" s="645"/>
      <c r="V184" s="645"/>
      <c r="W184" s="645"/>
      <c r="X184" s="645"/>
      <c r="Y184" s="645"/>
      <c r="Z184" s="645"/>
      <c r="AA184" s="645"/>
      <c r="AB184" s="645"/>
      <c r="AC184" s="645"/>
    </row>
    <row r="185" spans="1:29" ht="15.75" customHeight="1">
      <c r="A185" s="277"/>
      <c r="B185" s="277"/>
      <c r="C185" s="277"/>
      <c r="D185" s="277"/>
      <c r="E185" s="325"/>
      <c r="F185" s="277"/>
      <c r="G185" s="185"/>
      <c r="H185" s="185"/>
      <c r="I185" s="185"/>
      <c r="J185" s="185"/>
      <c r="K185" s="186"/>
      <c r="L185" s="185"/>
      <c r="M185" s="185"/>
      <c r="N185" s="185"/>
      <c r="O185" s="185"/>
      <c r="P185" s="185"/>
      <c r="Q185" s="185"/>
      <c r="S185" s="645"/>
      <c r="T185" s="645"/>
      <c r="U185" s="645"/>
      <c r="V185" s="645"/>
      <c r="W185" s="645"/>
      <c r="X185" s="645"/>
      <c r="Y185" s="645"/>
      <c r="Z185" s="645"/>
      <c r="AA185" s="645"/>
      <c r="AB185" s="645"/>
      <c r="AC185" s="645"/>
    </row>
    <row r="186" spans="1:29" ht="24" customHeight="1">
      <c r="A186" s="698" t="s">
        <v>811</v>
      </c>
      <c r="B186" s="699"/>
      <c r="C186" s="699"/>
      <c r="D186" s="699"/>
      <c r="E186" s="699"/>
      <c r="F186" s="699"/>
      <c r="G186" s="700"/>
      <c r="H186" s="185"/>
      <c r="I186" s="185"/>
      <c r="J186" s="185"/>
      <c r="K186" s="186"/>
      <c r="L186" s="185"/>
      <c r="M186" s="185"/>
      <c r="N186" s="185"/>
      <c r="O186" s="185"/>
      <c r="P186" s="185"/>
      <c r="Q186" s="185"/>
      <c r="S186" s="645"/>
      <c r="T186" s="645"/>
      <c r="U186" s="645"/>
      <c r="V186" s="645"/>
      <c r="W186" s="645"/>
      <c r="X186" s="645"/>
      <c r="Y186" s="645"/>
      <c r="Z186" s="645"/>
      <c r="AA186" s="645"/>
      <c r="AB186" s="645"/>
      <c r="AC186" s="645"/>
    </row>
    <row r="187" spans="1:29" ht="15.75" customHeight="1">
      <c r="A187" s="691"/>
      <c r="B187" s="674"/>
      <c r="C187" s="674" t="s">
        <v>789</v>
      </c>
      <c r="D187" s="674" t="s">
        <v>788</v>
      </c>
      <c r="E187" s="674"/>
      <c r="F187" s="997" t="s">
        <v>816</v>
      </c>
      <c r="G187" s="692" t="s">
        <v>967</v>
      </c>
      <c r="H187" s="185"/>
      <c r="I187" s="185"/>
      <c r="J187" s="185"/>
      <c r="K187" s="186"/>
      <c r="L187" s="185"/>
      <c r="M187" s="185"/>
      <c r="N187" s="185"/>
      <c r="O187" s="185"/>
      <c r="P187" s="185"/>
      <c r="Q187" s="185"/>
      <c r="S187" s="645"/>
      <c r="T187" s="645"/>
      <c r="U187" s="645"/>
      <c r="V187" s="645"/>
      <c r="W187" s="645"/>
      <c r="X187" s="645"/>
      <c r="Y187" s="645"/>
      <c r="Z187" s="645"/>
      <c r="AA187" s="645"/>
      <c r="AB187" s="645"/>
      <c r="AC187" s="645"/>
    </row>
    <row r="188" spans="1:29" ht="15.75" customHeight="1">
      <c r="A188" s="691"/>
      <c r="B188" s="674"/>
      <c r="C188" s="674"/>
      <c r="D188" s="674"/>
      <c r="E188" s="674"/>
      <c r="F188" s="997"/>
      <c r="G188" s="692"/>
      <c r="H188" s="185"/>
      <c r="I188" s="185"/>
      <c r="J188" s="185"/>
      <c r="K188" s="186"/>
      <c r="L188" s="185"/>
      <c r="M188" s="185"/>
      <c r="N188" s="185"/>
      <c r="O188" s="185"/>
      <c r="P188" s="185"/>
      <c r="Q188" s="185"/>
      <c r="S188" s="645"/>
      <c r="T188" s="645"/>
      <c r="U188" s="645"/>
      <c r="V188" s="645"/>
      <c r="W188" s="645"/>
      <c r="X188" s="645"/>
      <c r="Y188" s="645"/>
      <c r="Z188" s="645"/>
      <c r="AA188" s="645"/>
      <c r="AB188" s="645"/>
      <c r="AC188" s="645"/>
    </row>
    <row r="189" spans="1:29" ht="114">
      <c r="A189" s="693" t="s">
        <v>793</v>
      </c>
      <c r="B189" s="631"/>
      <c r="C189" s="676" t="s">
        <v>813</v>
      </c>
      <c r="D189" s="701" t="s">
        <v>988</v>
      </c>
      <c r="E189" s="674"/>
      <c r="F189" s="998">
        <v>0</v>
      </c>
      <c r="G189" s="694">
        <v>1159350.1399999999</v>
      </c>
      <c r="H189" s="185"/>
      <c r="I189" s="185"/>
      <c r="J189" s="185"/>
      <c r="K189" s="186"/>
      <c r="L189" s="185"/>
      <c r="M189" s="185"/>
      <c r="N189" s="185"/>
      <c r="O189" s="185"/>
      <c r="P189" s="185"/>
      <c r="Q189" s="185"/>
      <c r="S189" s="645"/>
      <c r="T189" s="645"/>
      <c r="U189" s="645"/>
      <c r="V189" s="645"/>
      <c r="W189" s="645"/>
      <c r="X189" s="645"/>
      <c r="Y189" s="645"/>
      <c r="Z189" s="645"/>
      <c r="AA189" s="645"/>
      <c r="AB189" s="645"/>
      <c r="AC189" s="645"/>
    </row>
    <row r="190" spans="1:29" ht="114">
      <c r="A190" s="693" t="s">
        <v>794</v>
      </c>
      <c r="B190" s="631"/>
      <c r="C190" s="676" t="s">
        <v>798</v>
      </c>
      <c r="D190" s="701" t="s">
        <v>988</v>
      </c>
      <c r="E190" s="674"/>
      <c r="F190" s="998"/>
      <c r="G190" s="694">
        <v>1</v>
      </c>
      <c r="H190" s="185"/>
      <c r="I190" s="185"/>
      <c r="J190" s="185"/>
      <c r="K190" s="186"/>
      <c r="L190" s="185"/>
      <c r="M190" s="185"/>
      <c r="N190" s="185"/>
      <c r="O190" s="185"/>
      <c r="P190" s="185"/>
      <c r="Q190" s="185"/>
      <c r="S190" s="645"/>
      <c r="T190" s="645"/>
      <c r="U190" s="645"/>
      <c r="V190" s="645"/>
      <c r="W190" s="645"/>
      <c r="X190" s="645"/>
      <c r="Y190" s="645"/>
      <c r="Z190" s="645"/>
      <c r="AA190" s="645"/>
      <c r="AB190" s="645"/>
      <c r="AC190" s="645"/>
    </row>
    <row r="191" spans="1:29" ht="15.75" customHeight="1">
      <c r="A191" s="693" t="s">
        <v>799</v>
      </c>
      <c r="B191" s="631"/>
      <c r="C191" s="676" t="s">
        <v>817</v>
      </c>
      <c r="D191" s="631" t="s">
        <v>795</v>
      </c>
      <c r="E191" s="674"/>
      <c r="F191" s="734" t="e">
        <f>+F189/F190</f>
        <v>#DIV/0!</v>
      </c>
      <c r="G191" s="695">
        <f>+G189/G190</f>
        <v>1159350.1399999999</v>
      </c>
      <c r="H191" s="185"/>
      <c r="I191" s="185"/>
      <c r="J191" s="185"/>
      <c r="K191" s="186"/>
      <c r="L191" s="185"/>
      <c r="M191" s="185"/>
      <c r="N191" s="185"/>
      <c r="O191" s="185"/>
      <c r="P191" s="185"/>
      <c r="Q191" s="185"/>
      <c r="S191" s="645"/>
      <c r="T191" s="645"/>
      <c r="U191" s="645"/>
      <c r="V191" s="645"/>
      <c r="W191" s="645"/>
      <c r="X191" s="645"/>
      <c r="Y191" s="645"/>
      <c r="Z191" s="645"/>
      <c r="AA191" s="645"/>
      <c r="AB191" s="645"/>
      <c r="AC191" s="645"/>
    </row>
    <row r="192" spans="1:29" ht="15.75" customHeight="1">
      <c r="A192" s="693"/>
      <c r="B192" s="631"/>
      <c r="C192" s="82"/>
      <c r="D192" s="674"/>
      <c r="E192" s="674"/>
      <c r="F192" s="997"/>
      <c r="G192" s="692"/>
      <c r="H192" s="185"/>
      <c r="I192" s="185"/>
      <c r="J192" s="185"/>
      <c r="K192" s="186"/>
      <c r="L192" s="185"/>
      <c r="M192" s="185"/>
      <c r="N192" s="185"/>
      <c r="O192" s="185"/>
      <c r="P192" s="185"/>
      <c r="Q192" s="185"/>
      <c r="S192" s="645"/>
      <c r="T192" s="645"/>
      <c r="U192" s="645"/>
      <c r="V192" s="645"/>
      <c r="W192" s="645"/>
      <c r="X192" s="645"/>
      <c r="Y192" s="645"/>
      <c r="Z192" s="645"/>
      <c r="AA192" s="645"/>
      <c r="AB192" s="645"/>
      <c r="AC192" s="645"/>
    </row>
    <row r="193" spans="1:29" ht="15.75" customHeight="1">
      <c r="A193" s="693" t="s">
        <v>800</v>
      </c>
      <c r="B193" s="631"/>
      <c r="C193" s="82" t="s">
        <v>801</v>
      </c>
      <c r="D193" s="631" t="s">
        <v>806</v>
      </c>
      <c r="E193" s="674"/>
      <c r="F193" s="734"/>
      <c r="G193" s="695"/>
      <c r="H193" s="185"/>
      <c r="I193" s="185"/>
      <c r="J193" s="185"/>
      <c r="K193" s="186"/>
      <c r="L193" s="185"/>
      <c r="M193" s="185"/>
      <c r="N193" s="185"/>
      <c r="O193" s="185"/>
      <c r="P193" s="185"/>
      <c r="Q193" s="185"/>
      <c r="S193" s="645"/>
      <c r="T193" s="645"/>
      <c r="U193" s="645"/>
      <c r="V193" s="645"/>
      <c r="W193" s="645"/>
      <c r="X193" s="645"/>
      <c r="Y193" s="645"/>
      <c r="Z193" s="645"/>
      <c r="AA193" s="645"/>
      <c r="AB193" s="645"/>
      <c r="AC193" s="645"/>
    </row>
    <row r="194" spans="1:29" ht="15.75" customHeight="1">
      <c r="A194" s="693" t="s">
        <v>802</v>
      </c>
      <c r="B194" s="631"/>
      <c r="C194" s="676" t="s">
        <v>818</v>
      </c>
      <c r="D194" s="631" t="s">
        <v>807</v>
      </c>
      <c r="E194" s="674"/>
      <c r="F194" s="734">
        <f>+(F189+F193)/2</f>
        <v>0</v>
      </c>
      <c r="G194" s="695">
        <f>+(G189+G193)/2</f>
        <v>579675.06999999995</v>
      </c>
      <c r="H194" s="185"/>
      <c r="I194" s="185"/>
      <c r="J194" s="185"/>
      <c r="K194" s="186"/>
      <c r="L194" s="185"/>
      <c r="M194" s="185"/>
      <c r="N194" s="185"/>
      <c r="O194" s="185"/>
      <c r="P194" s="185"/>
      <c r="Q194" s="185"/>
      <c r="S194" s="645"/>
      <c r="T194" s="645"/>
      <c r="U194" s="645"/>
      <c r="V194" s="645"/>
      <c r="W194" s="645"/>
      <c r="X194" s="645"/>
      <c r="Y194" s="645"/>
      <c r="Z194" s="645"/>
      <c r="AA194" s="645"/>
      <c r="AB194" s="645"/>
      <c r="AC194" s="645"/>
    </row>
    <row r="195" spans="1:29" ht="15.75" customHeight="1">
      <c r="A195" s="691"/>
      <c r="B195" s="674"/>
      <c r="C195" s="674"/>
      <c r="D195" s="674"/>
      <c r="E195" s="674"/>
      <c r="F195" s="997"/>
      <c r="G195" s="692"/>
      <c r="H195" s="185"/>
      <c r="I195" s="185"/>
      <c r="J195" s="185"/>
      <c r="K195" s="186"/>
      <c r="L195" s="185"/>
      <c r="M195" s="185"/>
      <c r="N195" s="185"/>
      <c r="O195" s="185"/>
      <c r="P195" s="185"/>
      <c r="Q195" s="185"/>
    </row>
    <row r="196" spans="1:29" ht="15.75" customHeight="1">
      <c r="A196" s="693" t="s">
        <v>803</v>
      </c>
      <c r="B196" s="631"/>
      <c r="C196" s="82" t="s">
        <v>787</v>
      </c>
      <c r="D196" s="631" t="s">
        <v>791</v>
      </c>
      <c r="E196" s="631"/>
      <c r="F196" s="734">
        <f>+'ATT H-2A'!H246+'ATT H-2A'!H247</f>
        <v>99441748.878105283</v>
      </c>
      <c r="G196" s="695">
        <f>+F196</f>
        <v>99441748.878105283</v>
      </c>
      <c r="H196" s="185"/>
      <c r="I196" s="185"/>
      <c r="J196" s="185"/>
      <c r="K196" s="186"/>
      <c r="L196" s="185"/>
      <c r="M196" s="185"/>
      <c r="N196" s="185"/>
      <c r="O196" s="185"/>
      <c r="P196" s="185"/>
      <c r="Q196" s="185"/>
    </row>
    <row r="197" spans="1:29" ht="15.75" customHeight="1">
      <c r="A197" s="693" t="s">
        <v>804</v>
      </c>
      <c r="B197" s="631"/>
      <c r="C197" s="82" t="s">
        <v>326</v>
      </c>
      <c r="D197" s="631" t="s">
        <v>792</v>
      </c>
      <c r="E197" s="631"/>
      <c r="F197" s="734">
        <f>+'ATT H-2A'!H241</f>
        <v>887350469.03172386</v>
      </c>
      <c r="G197" s="695">
        <f>+F197</f>
        <v>887350469.03172386</v>
      </c>
      <c r="H197" s="185"/>
      <c r="I197" s="185"/>
      <c r="J197" s="185"/>
      <c r="K197" s="186"/>
      <c r="L197" s="185"/>
      <c r="M197" s="185"/>
      <c r="N197" s="185"/>
      <c r="O197" s="185"/>
      <c r="P197" s="185"/>
      <c r="Q197" s="185"/>
    </row>
    <row r="198" spans="1:29" ht="15.75" customHeight="1">
      <c r="A198" s="693" t="s">
        <v>805</v>
      </c>
      <c r="B198" s="631"/>
      <c r="C198" s="82" t="s">
        <v>819</v>
      </c>
      <c r="D198" s="631" t="s">
        <v>814</v>
      </c>
      <c r="E198" s="631"/>
      <c r="F198" s="831">
        <f>+F196/F197</f>
        <v>0.1120659224833859</v>
      </c>
      <c r="G198" s="696">
        <f>+F198</f>
        <v>0.1120659224833859</v>
      </c>
      <c r="H198" s="185"/>
      <c r="I198" s="185"/>
      <c r="J198" s="185"/>
      <c r="K198" s="186"/>
      <c r="L198" s="185"/>
      <c r="M198" s="185"/>
      <c r="N198" s="185"/>
      <c r="O198" s="185"/>
      <c r="P198" s="185"/>
      <c r="Q198" s="185"/>
    </row>
    <row r="199" spans="1:29" ht="15.75" customHeight="1">
      <c r="A199" s="693"/>
      <c r="B199" s="631"/>
      <c r="C199" s="82"/>
      <c r="D199" s="631"/>
      <c r="E199" s="631"/>
      <c r="F199" s="631"/>
      <c r="G199" s="697"/>
      <c r="H199" s="185"/>
      <c r="I199" s="185"/>
      <c r="J199" s="185"/>
      <c r="K199" s="186"/>
      <c r="L199" s="185"/>
      <c r="M199" s="185"/>
      <c r="N199" s="185"/>
      <c r="O199" s="185"/>
      <c r="P199" s="185"/>
      <c r="Q199" s="185"/>
    </row>
    <row r="200" spans="1:29" ht="15.75" customHeight="1">
      <c r="A200" s="693" t="s">
        <v>808</v>
      </c>
      <c r="B200" s="631"/>
      <c r="C200" s="82"/>
      <c r="D200" s="631"/>
      <c r="E200" s="631"/>
      <c r="F200" s="631"/>
      <c r="G200" s="697"/>
      <c r="H200" s="185"/>
      <c r="I200" s="185"/>
      <c r="J200" s="185"/>
      <c r="K200" s="186"/>
      <c r="L200" s="185"/>
      <c r="M200" s="185"/>
      <c r="N200" s="185"/>
      <c r="O200" s="185"/>
      <c r="P200" s="185"/>
      <c r="Q200" s="185"/>
    </row>
    <row r="201" spans="1:29" ht="15.75" customHeight="1">
      <c r="A201" s="693" t="s">
        <v>809</v>
      </c>
      <c r="B201" s="631"/>
      <c r="C201" s="82"/>
      <c r="D201" s="631"/>
      <c r="E201" s="631"/>
      <c r="F201" s="631"/>
      <c r="G201" s="697"/>
      <c r="H201" s="185"/>
      <c r="I201" s="185"/>
      <c r="J201" s="185"/>
      <c r="K201" s="186"/>
      <c r="L201" s="185"/>
      <c r="M201" s="185"/>
      <c r="N201" s="185"/>
      <c r="O201" s="185"/>
      <c r="P201" s="185"/>
      <c r="Q201" s="185"/>
    </row>
    <row r="202" spans="1:29" ht="15.75" customHeight="1">
      <c r="A202" s="999" t="s">
        <v>815</v>
      </c>
      <c r="B202" s="1000"/>
      <c r="C202" s="414"/>
      <c r="D202" s="1000"/>
      <c r="E202" s="1000"/>
      <c r="F202" s="1000"/>
      <c r="G202" s="1001"/>
      <c r="H202" s="185"/>
      <c r="I202" s="185"/>
      <c r="J202" s="185"/>
      <c r="K202" s="186"/>
      <c r="L202" s="185"/>
      <c r="M202" s="185"/>
      <c r="N202" s="185"/>
      <c r="O202" s="185"/>
      <c r="P202" s="185"/>
      <c r="Q202" s="185"/>
    </row>
    <row r="203" spans="1:29" ht="15.75" customHeight="1">
      <c r="A203" s="277"/>
      <c r="B203" s="277"/>
      <c r="C203" s="277"/>
      <c r="D203" s="277"/>
      <c r="E203" s="325"/>
      <c r="F203" s="277"/>
      <c r="G203" s="185"/>
      <c r="H203" s="185"/>
      <c r="I203" s="185"/>
      <c r="J203" s="185"/>
      <c r="K203" s="186"/>
      <c r="L203" s="185"/>
      <c r="M203" s="185"/>
      <c r="N203" s="185"/>
      <c r="O203" s="185"/>
      <c r="P203" s="185"/>
      <c r="Q203" s="185"/>
    </row>
    <row r="204" spans="1:29" ht="15.75" customHeight="1">
      <c r="A204" s="277"/>
      <c r="B204" s="277"/>
      <c r="C204" s="277"/>
      <c r="D204" s="277"/>
      <c r="E204" s="325"/>
      <c r="F204" s="277"/>
      <c r="G204" s="185"/>
      <c r="H204" s="185"/>
      <c r="I204" s="185"/>
      <c r="J204" s="185"/>
      <c r="K204" s="186"/>
      <c r="L204" s="185"/>
      <c r="M204" s="185"/>
      <c r="N204" s="185"/>
      <c r="O204" s="185"/>
      <c r="P204" s="185"/>
      <c r="Q204" s="185"/>
    </row>
    <row r="205" spans="1:29" ht="21.2" customHeight="1" thickBot="1">
      <c r="A205" s="359" t="s">
        <v>631</v>
      </c>
      <c r="G205" s="183"/>
      <c r="H205" s="183"/>
      <c r="I205" s="183"/>
      <c r="J205" s="183"/>
      <c r="K205" s="183"/>
      <c r="L205" s="183"/>
      <c r="M205" s="183"/>
      <c r="N205" s="183"/>
      <c r="O205" s="183"/>
      <c r="P205" s="183"/>
      <c r="Q205" s="183"/>
    </row>
    <row r="206" spans="1:29" ht="26.45" customHeight="1">
      <c r="A206" s="1084" t="s">
        <v>10</v>
      </c>
      <c r="B206" s="1085"/>
      <c r="C206" s="1085"/>
      <c r="D206" s="1085"/>
      <c r="E206" s="1085"/>
      <c r="F206" s="1086"/>
      <c r="G206" s="391" t="str">
        <f>+C208</f>
        <v>Interest on Network Credits</v>
      </c>
      <c r="H206" s="1087" t="s">
        <v>563</v>
      </c>
      <c r="I206" s="1088"/>
      <c r="J206" s="1088"/>
      <c r="K206" s="1088"/>
      <c r="L206" s="1088"/>
      <c r="M206" s="1088"/>
      <c r="N206" s="1088"/>
      <c r="O206" s="1088"/>
      <c r="P206" s="1088"/>
      <c r="Q206" s="1124"/>
    </row>
    <row r="207" spans="1:29" ht="15.75" customHeight="1">
      <c r="A207" s="296"/>
      <c r="B207" s="252"/>
      <c r="C207" s="277"/>
      <c r="D207" s="277"/>
      <c r="E207" s="277"/>
      <c r="F207" s="375"/>
      <c r="G207" s="379"/>
      <c r="H207" s="185"/>
      <c r="I207" s="185"/>
      <c r="J207" s="185"/>
      <c r="K207" s="185"/>
      <c r="L207" s="185"/>
      <c r="M207" s="185"/>
      <c r="N207" s="185"/>
      <c r="O207" s="185"/>
      <c r="P207" s="185"/>
      <c r="Q207" s="377"/>
    </row>
    <row r="208" spans="1:29" ht="15.75" customHeight="1">
      <c r="A208" s="296">
        <v>154</v>
      </c>
      <c r="B208" s="277"/>
      <c r="C208" s="277" t="str">
        <f>'Exh F - AA-BL Items'!C247</f>
        <v>Interest on Network Credits</v>
      </c>
      <c r="D208" s="277"/>
      <c r="E208" s="325" t="str">
        <f>'Exh F - AA-BL Items'!E247</f>
        <v>(Note N)</v>
      </c>
      <c r="F208" s="375" t="str">
        <f>'Exh F - AA-BL Items'!F247</f>
        <v>PJM Data</v>
      </c>
      <c r="G208" s="382">
        <v>0</v>
      </c>
      <c r="H208" s="1080" t="s">
        <v>558</v>
      </c>
      <c r="I208" s="1081"/>
      <c r="J208" s="1081"/>
      <c r="K208" s="1081"/>
      <c r="L208" s="1081"/>
      <c r="M208" s="1081"/>
      <c r="N208" s="1081"/>
      <c r="O208" s="1081"/>
      <c r="P208" s="1081"/>
      <c r="Q208" s="1113"/>
    </row>
    <row r="209" spans="1:17" ht="15.75" customHeight="1">
      <c r="A209" s="296"/>
      <c r="B209" s="277"/>
      <c r="C209" s="277"/>
      <c r="D209" s="277"/>
      <c r="E209" s="325"/>
      <c r="F209" s="375"/>
      <c r="G209" s="379"/>
      <c r="H209" s="185"/>
      <c r="I209" s="185"/>
      <c r="J209" s="185"/>
      <c r="K209" s="185"/>
      <c r="L209" s="185"/>
      <c r="M209" s="185"/>
      <c r="N209" s="185"/>
      <c r="O209" s="229"/>
      <c r="P209" s="185"/>
      <c r="Q209" s="377"/>
    </row>
    <row r="210" spans="1:17" ht="15.75">
      <c r="A210" s="296"/>
      <c r="B210" s="277"/>
      <c r="C210" s="277"/>
      <c r="D210" s="277"/>
      <c r="E210" s="325"/>
      <c r="F210" s="375"/>
      <c r="G210" s="381" t="s">
        <v>552</v>
      </c>
      <c r="H210" s="1080" t="s">
        <v>39</v>
      </c>
      <c r="I210" s="1081"/>
      <c r="J210" s="1081"/>
      <c r="K210" s="1081"/>
      <c r="L210" s="1081"/>
      <c r="M210" s="1081"/>
      <c r="N210" s="1081"/>
      <c r="O210" s="1081"/>
      <c r="P210" s="1081"/>
      <c r="Q210" s="1113"/>
    </row>
    <row r="211" spans="1:17" ht="15.75">
      <c r="A211" s="296"/>
      <c r="B211" s="277"/>
      <c r="C211" s="277"/>
      <c r="D211" s="277"/>
      <c r="E211" s="325"/>
      <c r="F211" s="375"/>
      <c r="G211" s="381"/>
      <c r="H211" s="1080"/>
      <c r="I211" s="1081"/>
      <c r="J211" s="1081"/>
      <c r="K211" s="1081"/>
      <c r="L211" s="1081"/>
      <c r="M211" s="1081"/>
      <c r="N211" s="1081"/>
      <c r="O211" s="1081"/>
      <c r="P211" s="1081"/>
      <c r="Q211" s="1113"/>
    </row>
    <row r="212" spans="1:17" ht="15.75">
      <c r="A212" s="296"/>
      <c r="B212" s="277"/>
      <c r="C212" s="277"/>
      <c r="D212" s="277"/>
      <c r="E212" s="325"/>
      <c r="F212" s="375"/>
      <c r="G212" s="381"/>
      <c r="H212" s="1080"/>
      <c r="I212" s="1081"/>
      <c r="J212" s="1081"/>
      <c r="K212" s="1081"/>
      <c r="L212" s="1081"/>
      <c r="M212" s="1081"/>
      <c r="N212" s="1081"/>
      <c r="O212" s="1081"/>
      <c r="P212" s="1081"/>
      <c r="Q212" s="1113"/>
    </row>
    <row r="213" spans="1:17" ht="16.5" thickBot="1">
      <c r="A213" s="349"/>
      <c r="B213" s="354"/>
      <c r="C213" s="354"/>
      <c r="D213" s="354"/>
      <c r="E213" s="362"/>
      <c r="F213" s="376"/>
      <c r="G213" s="384"/>
      <c r="H213" s="378"/>
      <c r="I213" s="378"/>
      <c r="J213" s="378"/>
      <c r="K213" s="393" t="s">
        <v>555</v>
      </c>
      <c r="L213" s="378"/>
      <c r="M213" s="378"/>
      <c r="N213" s="378"/>
      <c r="O213" s="378"/>
      <c r="P213" s="378"/>
      <c r="Q213" s="385"/>
    </row>
    <row r="214" spans="1:17" ht="15.75">
      <c r="A214" s="277"/>
      <c r="B214" s="277"/>
      <c r="C214" s="277"/>
      <c r="D214" s="277"/>
      <c r="E214" s="325"/>
      <c r="F214" s="277"/>
      <c r="G214" s="185"/>
      <c r="H214" s="185"/>
      <c r="I214" s="185"/>
      <c r="J214" s="185"/>
      <c r="K214" s="186"/>
      <c r="L214" s="185"/>
      <c r="M214" s="185"/>
      <c r="N214" s="185"/>
      <c r="O214" s="185"/>
      <c r="P214" s="185"/>
      <c r="Q214" s="185"/>
    </row>
    <row r="215" spans="1:17" ht="15.75">
      <c r="A215" s="277"/>
      <c r="B215" s="277"/>
      <c r="C215" s="277"/>
      <c r="D215" s="277"/>
      <c r="E215" s="325"/>
      <c r="F215" s="277"/>
      <c r="G215" s="185"/>
      <c r="H215" s="185"/>
      <c r="I215" s="185"/>
      <c r="J215" s="185"/>
      <c r="K215" s="186"/>
      <c r="L215" s="185"/>
      <c r="M215" s="185"/>
      <c r="N215" s="185"/>
      <c r="O215" s="185"/>
      <c r="P215" s="185"/>
      <c r="Q215" s="185"/>
    </row>
    <row r="216" spans="1:17" ht="21" thickBot="1">
      <c r="A216" s="359" t="str">
        <f>+'ATT H-2A'!C284</f>
        <v>Facility Credits under Section 30.9 of the PJM OATT paid by Utility</v>
      </c>
      <c r="G216" s="183"/>
      <c r="H216" s="183"/>
      <c r="I216" s="183"/>
      <c r="J216" s="183"/>
      <c r="K216" s="183"/>
      <c r="L216" s="183"/>
      <c r="M216" s="183"/>
      <c r="N216" s="183"/>
      <c r="O216" s="183"/>
      <c r="P216" s="183"/>
      <c r="Q216" s="183"/>
    </row>
    <row r="217" spans="1:17" ht="18">
      <c r="A217" s="1084" t="s">
        <v>10</v>
      </c>
      <c r="B217" s="1085"/>
      <c r="C217" s="1085"/>
      <c r="D217" s="1085"/>
      <c r="E217" s="1085"/>
      <c r="F217" s="1086"/>
      <c r="G217" s="822" t="s">
        <v>448</v>
      </c>
      <c r="H217" s="1087" t="s">
        <v>561</v>
      </c>
      <c r="I217" s="1088"/>
      <c r="J217" s="1088"/>
      <c r="K217" s="1088"/>
      <c r="L217" s="1088"/>
      <c r="M217" s="1088"/>
      <c r="N217" s="1088"/>
      <c r="O217" s="1088"/>
      <c r="P217" s="1088"/>
      <c r="Q217" s="1124"/>
    </row>
    <row r="218" spans="1:17" ht="15.75">
      <c r="A218" s="296"/>
      <c r="B218" s="273" t="str">
        <f>+'ATT H-2A'!C281</f>
        <v>Net Revenue Requirement</v>
      </c>
      <c r="C218" s="233"/>
      <c r="D218" s="233"/>
      <c r="E218" s="234"/>
      <c r="F218" s="293"/>
      <c r="G218" s="185"/>
      <c r="H218" s="185"/>
      <c r="I218" s="185"/>
      <c r="J218" s="185"/>
      <c r="K218" s="185"/>
      <c r="L218" s="185"/>
      <c r="M218" s="185"/>
      <c r="N218" s="185"/>
      <c r="O218" s="185"/>
      <c r="P218" s="185"/>
      <c r="Q218" s="377"/>
    </row>
    <row r="219" spans="1:17" ht="16.5" thickBot="1">
      <c r="A219" s="349">
        <v>171</v>
      </c>
      <c r="B219" s="350"/>
      <c r="C219" s="354" t="str">
        <f>+'ATT H-2A'!C285</f>
        <v>Net Zonal Revenue Requirement</v>
      </c>
      <c r="D219" s="356"/>
      <c r="E219" s="354"/>
      <c r="F219" s="354"/>
      <c r="G219" s="522">
        <v>0</v>
      </c>
      <c r="H219" s="1082"/>
      <c r="I219" s="1083"/>
      <c r="J219" s="1083"/>
      <c r="K219" s="1083"/>
      <c r="L219" s="1083"/>
      <c r="M219" s="1083"/>
      <c r="N219" s="1083"/>
      <c r="O219" s="1083"/>
      <c r="P219" s="1083"/>
      <c r="Q219" s="1119"/>
    </row>
    <row r="220" spans="1:17" ht="15.75">
      <c r="A220" s="277"/>
      <c r="B220" s="258"/>
      <c r="C220" s="277"/>
      <c r="D220" s="243"/>
      <c r="E220" s="277"/>
      <c r="F220" s="277"/>
      <c r="G220" s="573"/>
      <c r="H220" s="825"/>
      <c r="I220" s="824"/>
      <c r="J220" s="824"/>
      <c r="K220" s="824"/>
      <c r="L220" s="824"/>
      <c r="M220" s="824"/>
      <c r="N220" s="824"/>
      <c r="O220" s="824"/>
      <c r="P220" s="824"/>
      <c r="Q220" s="824"/>
    </row>
    <row r="221" spans="1:17" ht="21.2" customHeight="1">
      <c r="A221" s="277"/>
      <c r="B221" s="258"/>
      <c r="C221" s="277"/>
      <c r="D221" s="243"/>
      <c r="E221" s="277"/>
      <c r="F221" s="277"/>
      <c r="G221" s="573"/>
      <c r="H221" s="825"/>
      <c r="I221" s="824"/>
      <c r="J221" s="824"/>
      <c r="K221" s="824"/>
      <c r="L221" s="824"/>
      <c r="M221" s="824"/>
      <c r="N221" s="824"/>
      <c r="O221" s="824"/>
      <c r="P221" s="824"/>
      <c r="Q221" s="824"/>
    </row>
    <row r="222" spans="1:17" ht="21.2" customHeight="1" thickBot="1">
      <c r="A222" s="359" t="s">
        <v>937</v>
      </c>
      <c r="G222" s="183"/>
      <c r="H222" s="183"/>
      <c r="I222" s="183"/>
      <c r="J222" s="183"/>
      <c r="K222" s="183"/>
      <c r="L222" s="183"/>
      <c r="M222" s="183"/>
      <c r="N222" s="183"/>
      <c r="O222" s="183"/>
      <c r="P222" s="183"/>
      <c r="Q222" s="183"/>
    </row>
    <row r="223" spans="1:17" ht="27" customHeight="1">
      <c r="A223" s="1084" t="s">
        <v>10</v>
      </c>
      <c r="B223" s="1085"/>
      <c r="C223" s="1085"/>
      <c r="D223" s="1085"/>
      <c r="E223" s="1085"/>
      <c r="F223" s="1086"/>
      <c r="G223" s="822" t="s">
        <v>938</v>
      </c>
      <c r="H223" s="822" t="s">
        <v>936</v>
      </c>
      <c r="I223" s="822" t="s">
        <v>939</v>
      </c>
      <c r="J223" s="1087" t="s">
        <v>462</v>
      </c>
      <c r="K223" s="1089"/>
      <c r="L223" s="1089"/>
      <c r="M223" s="1089"/>
      <c r="N223" s="1089"/>
      <c r="O223" s="1089"/>
      <c r="P223" s="1089"/>
      <c r="Q223" s="1120"/>
    </row>
    <row r="224" spans="1:17" ht="21.2" customHeight="1">
      <c r="A224" s="296"/>
      <c r="B224" s="279" t="s">
        <v>373</v>
      </c>
      <c r="C224" s="243"/>
      <c r="D224" s="243"/>
      <c r="E224" s="295"/>
      <c r="F224" s="321"/>
      <c r="G224" s="185"/>
      <c r="H224" s="185"/>
      <c r="I224" s="185"/>
      <c r="J224" s="1080"/>
      <c r="K224" s="1081"/>
      <c r="L224" s="1081"/>
      <c r="M224" s="1081"/>
      <c r="N224" s="1081"/>
      <c r="O224" s="1081"/>
      <c r="P224" s="1081"/>
      <c r="Q224" s="1113"/>
    </row>
    <row r="225" spans="1:17" ht="63.75" customHeight="1" thickBot="1">
      <c r="A225" s="349">
        <v>168</v>
      </c>
      <c r="B225" s="354"/>
      <c r="C225" s="355" t="s">
        <v>681</v>
      </c>
      <c r="D225" s="624"/>
      <c r="E225" s="368"/>
      <c r="F225" s="366"/>
      <c r="G225" s="737">
        <f>+'6- Est &amp; True-up WS'!H144</f>
        <v>7556265.0873971013</v>
      </c>
      <c r="H225" s="1045">
        <v>0</v>
      </c>
      <c r="I225" s="1041">
        <f>+G225+H225</f>
        <v>7556265.0873971013</v>
      </c>
      <c r="J225" s="1121"/>
      <c r="K225" s="1121"/>
      <c r="L225" s="1121"/>
      <c r="M225" s="1121"/>
      <c r="N225" s="1121"/>
      <c r="O225" s="1121"/>
      <c r="P225" s="1121"/>
      <c r="Q225" s="1122"/>
    </row>
    <row r="226" spans="1:17" ht="21.2" customHeight="1">
      <c r="A226" s="277"/>
      <c r="B226" s="258"/>
      <c r="C226" s="277"/>
      <c r="D226" s="243"/>
      <c r="E226" s="277"/>
      <c r="F226" s="277"/>
      <c r="G226" s="573"/>
      <c r="H226" s="825"/>
      <c r="I226" s="824"/>
      <c r="J226" s="824"/>
      <c r="K226" s="824"/>
      <c r="L226" s="824"/>
      <c r="M226" s="824"/>
      <c r="N226" s="824"/>
      <c r="O226" s="824"/>
      <c r="P226" s="824"/>
      <c r="Q226" s="824"/>
    </row>
    <row r="227" spans="1:17">
      <c r="G227" s="183"/>
      <c r="H227" s="183"/>
      <c r="I227" s="183"/>
      <c r="J227" s="183"/>
      <c r="K227" s="183"/>
      <c r="L227" s="183"/>
      <c r="M227" s="183"/>
      <c r="N227" s="183"/>
      <c r="O227" s="183"/>
      <c r="P227" s="183"/>
      <c r="Q227" s="183"/>
    </row>
    <row r="228" spans="1:17" ht="21" thickBot="1">
      <c r="A228" s="359" t="s">
        <v>627</v>
      </c>
      <c r="G228" s="183"/>
      <c r="H228" s="183"/>
      <c r="I228" s="183"/>
      <c r="J228" s="183"/>
      <c r="K228" s="183"/>
      <c r="L228" s="183"/>
      <c r="M228" s="183"/>
      <c r="N228" s="183"/>
      <c r="O228" s="183"/>
      <c r="P228" s="183"/>
      <c r="Q228" s="183"/>
    </row>
    <row r="229" spans="1:17" ht="18">
      <c r="A229" s="1084" t="s">
        <v>10</v>
      </c>
      <c r="B229" s="1085"/>
      <c r="C229" s="1085"/>
      <c r="D229" s="1085"/>
      <c r="E229" s="1085"/>
      <c r="F229" s="1086"/>
      <c r="G229" s="391" t="str">
        <f>+C231</f>
        <v>1 CP Peak</v>
      </c>
      <c r="H229" s="1087" t="s">
        <v>561</v>
      </c>
      <c r="I229" s="1088"/>
      <c r="J229" s="1088"/>
      <c r="K229" s="1088"/>
      <c r="L229" s="1088"/>
      <c r="M229" s="1088"/>
      <c r="N229" s="1088"/>
      <c r="O229" s="1088"/>
      <c r="P229" s="1088"/>
      <c r="Q229" s="1124"/>
    </row>
    <row r="230" spans="1:17" ht="15.75" customHeight="1">
      <c r="A230" s="296"/>
      <c r="B230" s="273" t="s">
        <v>516</v>
      </c>
      <c r="C230" s="233"/>
      <c r="D230" s="233"/>
      <c r="E230" s="234"/>
      <c r="F230" s="293"/>
      <c r="G230" s="379"/>
      <c r="H230" s="185"/>
      <c r="I230" s="185"/>
      <c r="J230" s="185"/>
      <c r="K230" s="185"/>
      <c r="L230" s="185"/>
      <c r="M230" s="185"/>
      <c r="N230" s="185"/>
      <c r="O230" s="185"/>
      <c r="P230" s="185"/>
      <c r="Q230" s="377"/>
    </row>
    <row r="231" spans="1:17" ht="16.5" customHeight="1" thickBot="1">
      <c r="A231" s="349">
        <v>172</v>
      </c>
      <c r="B231" s="350"/>
      <c r="C231" s="351" t="str">
        <f>'Exh F - AA-BL Items'!C272</f>
        <v>1 CP Peak</v>
      </c>
      <c r="D231" s="356"/>
      <c r="E231" s="352" t="str">
        <f>'Exh F - AA-BL Items'!E272</f>
        <v>(Note L)</v>
      </c>
      <c r="F231" s="353" t="str">
        <f>'Exh F - AA-BL Items'!F272</f>
        <v>PJM Data</v>
      </c>
      <c r="G231" s="522">
        <v>6601</v>
      </c>
      <c r="H231" s="1082" t="s">
        <v>45</v>
      </c>
      <c r="I231" s="1083"/>
      <c r="J231" s="1083"/>
      <c r="K231" s="1083"/>
      <c r="L231" s="1083"/>
      <c r="M231" s="1083"/>
      <c r="N231" s="1083"/>
      <c r="O231" s="1083"/>
      <c r="P231" s="1083"/>
      <c r="Q231" s="1119"/>
    </row>
    <row r="232" spans="1:17" ht="12.75" customHeight="1">
      <c r="G232" s="183"/>
      <c r="H232" s="183"/>
      <c r="I232" s="183"/>
      <c r="J232" s="183"/>
      <c r="K232" s="183"/>
      <c r="L232" s="183"/>
      <c r="M232" s="183"/>
      <c r="N232" s="183"/>
      <c r="O232" s="183"/>
      <c r="P232" s="183"/>
      <c r="Q232" s="183"/>
    </row>
    <row r="233" spans="1:17" ht="12.75" customHeight="1">
      <c r="G233" s="183"/>
      <c r="H233" s="183"/>
      <c r="I233" s="183"/>
      <c r="J233" s="183"/>
      <c r="K233" s="183"/>
      <c r="L233" s="183"/>
      <c r="M233" s="183"/>
      <c r="N233" s="183"/>
      <c r="O233" s="183"/>
      <c r="P233" s="183"/>
      <c r="Q233" s="183"/>
    </row>
    <row r="234" spans="1:17" ht="21.2" customHeight="1" thickBot="1">
      <c r="A234" s="359" t="s">
        <v>567</v>
      </c>
      <c r="G234" s="183"/>
      <c r="H234" s="183"/>
      <c r="I234" s="183"/>
      <c r="J234" s="183"/>
      <c r="K234" s="183"/>
      <c r="L234" s="183"/>
      <c r="M234" s="183"/>
      <c r="N234" s="183"/>
      <c r="O234" s="183"/>
      <c r="P234" s="183"/>
      <c r="Q234" s="183"/>
    </row>
    <row r="235" spans="1:17" ht="18" customHeight="1">
      <c r="A235" s="820"/>
      <c r="B235" s="821"/>
      <c r="C235" s="403" t="s">
        <v>568</v>
      </c>
      <c r="D235" s="403" t="s">
        <v>569</v>
      </c>
      <c r="E235" s="403" t="s">
        <v>570</v>
      </c>
      <c r="F235" s="403" t="s">
        <v>571</v>
      </c>
      <c r="G235" s="1102" t="s">
        <v>572</v>
      </c>
      <c r="H235" s="1103"/>
      <c r="I235" s="1104" t="s">
        <v>573</v>
      </c>
      <c r="J235" s="1103"/>
      <c r="K235" s="1104" t="s">
        <v>574</v>
      </c>
      <c r="L235" s="1103"/>
      <c r="M235" s="395"/>
      <c r="N235" s="395"/>
      <c r="O235" s="395"/>
      <c r="P235" s="395"/>
      <c r="Q235" s="396"/>
    </row>
    <row r="236" spans="1:17" ht="15.75" customHeight="1">
      <c r="A236" s="296"/>
      <c r="B236" s="252"/>
      <c r="C236" s="277" t="s">
        <v>42</v>
      </c>
      <c r="D236" s="621">
        <v>6712</v>
      </c>
      <c r="E236" s="740">
        <v>27284.794581612001</v>
      </c>
      <c r="F236" s="926">
        <f>+'ATT H-2A'!H289</f>
        <v>32851.368173660943</v>
      </c>
      <c r="G236" s="1145">
        <f>+D236*E236</f>
        <v>183135541.23177975</v>
      </c>
      <c r="H236" s="1146"/>
      <c r="I236" s="1147">
        <f>+F236*'ATT H-2A'!H288</f>
        <v>216851881.31433588</v>
      </c>
      <c r="J236" s="1146"/>
      <c r="K236" s="1147">
        <f>+I236-G236</f>
        <v>33716340.082556129</v>
      </c>
      <c r="L236" s="1146"/>
      <c r="M236" s="397"/>
      <c r="N236" s="397"/>
      <c r="O236" s="397"/>
      <c r="P236" s="397"/>
      <c r="Q236" s="398"/>
    </row>
    <row r="237" spans="1:17" ht="15.75" customHeight="1">
      <c r="A237" s="296"/>
      <c r="B237" s="277"/>
      <c r="C237" s="277"/>
      <c r="D237" s="277"/>
      <c r="E237" s="621"/>
      <c r="F237" s="404"/>
      <c r="G237" s="1145">
        <f>+E237*D237*(151/365)</f>
        <v>0</v>
      </c>
      <c r="H237" s="1146"/>
      <c r="I237" s="1148"/>
      <c r="J237" s="1149"/>
      <c r="K237" s="1148"/>
      <c r="L237" s="1150"/>
      <c r="M237" s="399"/>
      <c r="N237" s="399"/>
      <c r="O237" s="399"/>
      <c r="P237" s="399"/>
      <c r="Q237" s="400"/>
    </row>
    <row r="238" spans="1:17" ht="15.75" customHeight="1">
      <c r="A238" s="296"/>
      <c r="B238" s="277"/>
      <c r="C238" s="277"/>
      <c r="D238" s="277"/>
      <c r="E238" s="404"/>
      <c r="F238" s="404"/>
      <c r="G238" s="406"/>
      <c r="H238" s="989"/>
      <c r="I238" s="405"/>
      <c r="J238" s="831"/>
      <c r="K238" s="405"/>
      <c r="L238" s="831"/>
      <c r="M238" s="399"/>
      <c r="N238" s="399"/>
      <c r="O238" s="399"/>
      <c r="P238" s="399"/>
      <c r="Q238" s="400"/>
    </row>
    <row r="239" spans="1:17" ht="16.5" customHeight="1" thickBot="1">
      <c r="A239" s="349"/>
      <c r="B239" s="354"/>
      <c r="C239" s="354" t="s">
        <v>340</v>
      </c>
      <c r="D239" s="354"/>
      <c r="E239" s="362"/>
      <c r="F239" s="354"/>
      <c r="G239" s="1142">
        <f>SUM(G236:H238)</f>
        <v>183135541.23177975</v>
      </c>
      <c r="H239" s="1143"/>
      <c r="I239" s="1144">
        <f>SUM(I236:J238)</f>
        <v>216851881.31433588</v>
      </c>
      <c r="J239" s="1143"/>
      <c r="K239" s="1144">
        <f>SUM(K236:L238)</f>
        <v>33716340.082556129</v>
      </c>
      <c r="L239" s="1143"/>
      <c r="M239" s="401"/>
      <c r="N239" s="401"/>
      <c r="O239" s="401"/>
      <c r="P239" s="401"/>
      <c r="Q239" s="402"/>
    </row>
    <row r="240" spans="1:17" ht="12.75" customHeight="1">
      <c r="G240" s="183"/>
      <c r="H240" s="183"/>
      <c r="I240" s="183"/>
      <c r="J240" s="183"/>
      <c r="K240" s="183"/>
      <c r="L240" s="183"/>
      <c r="M240" s="183"/>
      <c r="N240" s="183"/>
      <c r="O240" s="183"/>
      <c r="P240" s="183"/>
      <c r="Q240" s="183"/>
    </row>
    <row r="241" spans="1:17" ht="13.5" thickBot="1">
      <c r="G241" s="183"/>
      <c r="H241" s="183"/>
      <c r="I241" s="183"/>
      <c r="J241" s="183"/>
      <c r="K241" s="183"/>
      <c r="L241" s="183"/>
      <c r="M241" s="183"/>
      <c r="N241" s="183"/>
      <c r="O241" s="183"/>
      <c r="P241" s="183"/>
      <c r="Q241" s="183"/>
    </row>
    <row r="242" spans="1:17" ht="18.75" thickBot="1">
      <c r="A242" s="1099" t="s">
        <v>974</v>
      </c>
      <c r="B242" s="1100"/>
      <c r="C242" s="1100"/>
      <c r="D242" s="1100"/>
      <c r="E242" s="1100"/>
      <c r="F242" s="1101"/>
      <c r="G242" s="1102"/>
      <c r="H242" s="1103"/>
      <c r="I242" s="1104"/>
      <c r="J242" s="1103"/>
      <c r="K242" s="1104"/>
      <c r="L242" s="1103"/>
      <c r="M242" s="395"/>
      <c r="N242" s="395"/>
      <c r="O242" s="395"/>
      <c r="P242" s="395"/>
      <c r="Q242" s="396"/>
    </row>
    <row r="243" spans="1:17" ht="39">
      <c r="A243" s="1084" t="s">
        <v>10</v>
      </c>
      <c r="B243" s="1085"/>
      <c r="C243" s="1085"/>
      <c r="D243" s="1085"/>
      <c r="E243" s="1085"/>
      <c r="F243" s="1086"/>
      <c r="G243" s="1004" t="s">
        <v>975</v>
      </c>
      <c r="H243" s="1004" t="s">
        <v>976</v>
      </c>
      <c r="I243" s="1004" t="s">
        <v>977</v>
      </c>
      <c r="J243" s="1004" t="s">
        <v>978</v>
      </c>
      <c r="K243" s="1087" t="s">
        <v>979</v>
      </c>
      <c r="L243" s="1105"/>
      <c r="M243" s="1105"/>
      <c r="N243" s="1105"/>
      <c r="O243" s="1105"/>
      <c r="P243" s="1105"/>
      <c r="Q243" s="1106"/>
    </row>
    <row r="244" spans="1:17" ht="18">
      <c r="A244" s="1007"/>
      <c r="B244" s="1006"/>
      <c r="C244" s="1006"/>
      <c r="D244" s="1006"/>
      <c r="E244" s="1006"/>
      <c r="F244" s="1008"/>
      <c r="G244" s="1005"/>
      <c r="H244" s="1005"/>
      <c r="I244" s="1005"/>
      <c r="J244" s="1009"/>
      <c r="K244" s="1009"/>
      <c r="L244" s="1009"/>
      <c r="M244" s="1009"/>
      <c r="N244" s="1009"/>
      <c r="O244" s="1009"/>
      <c r="P244" s="1009"/>
      <c r="Q244" s="1010"/>
    </row>
    <row r="245" spans="1:17" ht="26.25">
      <c r="A245" s="296" t="s">
        <v>968</v>
      </c>
      <c r="B245" s="277"/>
      <c r="C245" s="260" t="s">
        <v>315</v>
      </c>
      <c r="D245" s="259"/>
      <c r="E245" s="319"/>
      <c r="F245" s="1011" t="s">
        <v>980</v>
      </c>
      <c r="G245" s="464">
        <v>190296554</v>
      </c>
      <c r="H245" s="464">
        <v>51499433</v>
      </c>
      <c r="I245" s="1037">
        <v>6927760</v>
      </c>
      <c r="J245" s="1037">
        <v>6657420</v>
      </c>
      <c r="K245" s="1107" t="s">
        <v>1011</v>
      </c>
      <c r="L245" s="1108"/>
      <c r="M245" s="1108"/>
      <c r="N245" s="1108"/>
      <c r="O245" s="1108"/>
      <c r="P245" s="1108"/>
      <c r="Q245" s="1109"/>
    </row>
    <row r="246" spans="1:17" ht="16.5" thickBot="1">
      <c r="A246" s="349"/>
      <c r="B246" s="354"/>
      <c r="C246" s="361"/>
      <c r="D246" s="984"/>
      <c r="E246" s="984"/>
      <c r="F246" s="363"/>
      <c r="G246" s="435"/>
      <c r="H246" s="435"/>
      <c r="I246" s="1012"/>
      <c r="J246" s="378"/>
      <c r="K246" s="378"/>
      <c r="L246" s="378"/>
      <c r="M246" s="378"/>
      <c r="N246" s="378"/>
      <c r="O246" s="378"/>
      <c r="P246" s="378"/>
      <c r="Q246" s="385"/>
    </row>
    <row r="247" spans="1:17">
      <c r="G247" s="183"/>
      <c r="H247" s="183"/>
      <c r="I247" s="183"/>
      <c r="J247" s="183"/>
      <c r="K247" s="183"/>
      <c r="L247" s="183"/>
      <c r="M247" s="183"/>
      <c r="N247" s="183"/>
      <c r="O247" s="183"/>
      <c r="P247" s="183"/>
      <c r="Q247" s="183"/>
    </row>
    <row r="248" spans="1:17">
      <c r="G248" s="183"/>
      <c r="H248" s="183"/>
      <c r="I248" s="183"/>
      <c r="J248" s="183"/>
      <c r="K248" s="183"/>
      <c r="L248" s="183"/>
      <c r="M248" s="183"/>
      <c r="N248" s="183"/>
      <c r="O248" s="183"/>
      <c r="P248" s="183"/>
      <c r="Q248" s="183"/>
    </row>
    <row r="249" spans="1:17">
      <c r="G249" s="183"/>
      <c r="H249" s="183"/>
      <c r="I249" s="183"/>
      <c r="J249" s="183"/>
      <c r="K249" s="183"/>
      <c r="L249" s="183"/>
      <c r="M249" s="183"/>
      <c r="N249" s="183"/>
      <c r="O249" s="183"/>
      <c r="P249" s="183"/>
      <c r="Q249" s="183"/>
    </row>
    <row r="250" spans="1:17" ht="15">
      <c r="C250" s="21"/>
      <c r="G250" s="183"/>
      <c r="H250" s="183"/>
      <c r="I250" s="183"/>
      <c r="J250" s="183"/>
      <c r="K250" s="183"/>
      <c r="L250" s="183"/>
      <c r="M250" s="183"/>
      <c r="N250" s="183"/>
      <c r="O250" s="183"/>
      <c r="P250" s="183"/>
      <c r="Q250" s="183"/>
    </row>
    <row r="251" spans="1:17" ht="15">
      <c r="C251" s="21"/>
      <c r="G251" s="183"/>
      <c r="H251" s="183"/>
      <c r="I251" s="183"/>
      <c r="J251" s="183"/>
      <c r="K251" s="183"/>
      <c r="L251" s="183"/>
      <c r="M251" s="183"/>
      <c r="N251" s="183"/>
      <c r="O251" s="183"/>
      <c r="P251" s="183"/>
      <c r="Q251" s="183"/>
    </row>
    <row r="252" spans="1:17" ht="15">
      <c r="C252" s="21"/>
      <c r="G252" s="183"/>
      <c r="H252" s="183"/>
      <c r="I252" s="183"/>
      <c r="J252" s="183"/>
      <c r="K252" s="183"/>
      <c r="L252" s="183"/>
      <c r="M252" s="183"/>
      <c r="N252" s="183"/>
      <c r="O252" s="183"/>
      <c r="P252" s="183"/>
      <c r="Q252" s="183"/>
    </row>
    <row r="253" spans="1:17" ht="15">
      <c r="C253" s="21"/>
      <c r="G253" s="183"/>
      <c r="H253" s="183"/>
      <c r="I253" s="183"/>
      <c r="J253" s="183"/>
      <c r="K253" s="183"/>
      <c r="L253" s="183"/>
      <c r="M253" s="183"/>
      <c r="N253" s="183"/>
      <c r="O253" s="183"/>
      <c r="P253" s="183"/>
      <c r="Q253" s="183"/>
    </row>
    <row r="254" spans="1:17">
      <c r="G254" s="183"/>
      <c r="H254" s="183"/>
      <c r="I254" s="183"/>
      <c r="J254" s="183"/>
      <c r="K254" s="183"/>
      <c r="L254" s="183"/>
      <c r="M254" s="183"/>
      <c r="N254" s="183"/>
      <c r="O254" s="183"/>
      <c r="P254" s="183"/>
      <c r="Q254" s="183"/>
    </row>
    <row r="255" spans="1:17" ht="12.75" customHeight="1">
      <c r="G255" s="183"/>
      <c r="H255" s="183"/>
      <c r="I255" s="183"/>
      <c r="J255" s="183"/>
      <c r="K255" s="183"/>
      <c r="L255" s="183"/>
      <c r="M255" s="183"/>
      <c r="N255" s="183"/>
      <c r="O255" s="183"/>
      <c r="P255" s="183"/>
      <c r="Q255" s="183"/>
    </row>
    <row r="256" spans="1:17" ht="12.75" customHeight="1">
      <c r="G256" s="183"/>
      <c r="H256" s="183"/>
      <c r="I256" s="183"/>
      <c r="J256" s="183"/>
      <c r="K256" s="183"/>
      <c r="L256" s="183"/>
      <c r="M256" s="183"/>
      <c r="N256" s="183"/>
      <c r="O256" s="183"/>
      <c r="P256" s="183"/>
      <c r="Q256" s="183"/>
    </row>
    <row r="257" spans="7:17" ht="16.5" customHeight="1">
      <c r="G257" s="387"/>
      <c r="H257" s="387"/>
      <c r="I257" s="387"/>
      <c r="J257" s="387"/>
      <c r="K257" s="387"/>
      <c r="L257" s="387"/>
      <c r="M257" s="387"/>
      <c r="N257" s="387"/>
      <c r="O257" s="387"/>
      <c r="P257" s="387"/>
      <c r="Q257" s="387"/>
    </row>
    <row r="258" spans="7:17" ht="16.5" customHeight="1">
      <c r="G258" s="387"/>
      <c r="H258" s="387"/>
      <c r="I258" s="387"/>
      <c r="J258" s="387"/>
      <c r="K258" s="387"/>
      <c r="L258" s="387"/>
      <c r="M258" s="387"/>
      <c r="N258" s="387"/>
      <c r="O258" s="387"/>
      <c r="P258" s="387"/>
      <c r="Q258" s="387"/>
    </row>
    <row r="259" spans="7:17" ht="16.5" customHeight="1">
      <c r="G259" s="387"/>
      <c r="H259" s="387"/>
      <c r="I259" s="387"/>
      <c r="J259" s="387"/>
      <c r="K259" s="387"/>
      <c r="L259" s="387"/>
      <c r="M259" s="387"/>
      <c r="N259" s="387"/>
      <c r="O259" s="387"/>
      <c r="P259" s="387"/>
      <c r="Q259" s="387"/>
    </row>
    <row r="260" spans="7:17" ht="16.5" customHeight="1">
      <c r="G260" s="387"/>
      <c r="H260" s="387"/>
      <c r="I260" s="387"/>
      <c r="J260" s="387"/>
      <c r="K260" s="387"/>
      <c r="L260" s="387"/>
      <c r="M260" s="387"/>
      <c r="N260" s="387"/>
      <c r="O260" s="387"/>
      <c r="P260" s="387"/>
      <c r="Q260" s="387"/>
    </row>
    <row r="261" spans="7:17" ht="16.5" customHeight="1">
      <c r="G261" s="387"/>
      <c r="H261" s="387"/>
      <c r="I261" s="387"/>
      <c r="J261" s="387"/>
      <c r="K261" s="387"/>
      <c r="L261" s="387"/>
      <c r="M261" s="387"/>
      <c r="N261" s="387"/>
      <c r="O261" s="387"/>
      <c r="P261" s="387"/>
      <c r="Q261" s="387"/>
    </row>
    <row r="262" spans="7:17" ht="16.5" customHeight="1">
      <c r="G262" s="387"/>
      <c r="H262" s="387"/>
      <c r="I262" s="387"/>
      <c r="J262" s="387"/>
      <c r="K262" s="387"/>
      <c r="L262" s="387"/>
      <c r="M262" s="387"/>
      <c r="N262" s="387"/>
      <c r="O262" s="387"/>
      <c r="P262" s="387"/>
      <c r="Q262" s="387"/>
    </row>
    <row r="263" spans="7:17" ht="16.5" customHeight="1">
      <c r="G263" s="387"/>
      <c r="H263" s="387"/>
      <c r="I263" s="387"/>
      <c r="J263" s="387"/>
      <c r="K263" s="387"/>
      <c r="L263" s="387"/>
      <c r="M263" s="387"/>
      <c r="N263" s="387"/>
      <c r="O263" s="387"/>
      <c r="P263" s="387"/>
      <c r="Q263" s="387"/>
    </row>
    <row r="264" spans="7:17" ht="16.5" customHeight="1">
      <c r="G264" s="387"/>
      <c r="H264" s="387"/>
      <c r="I264" s="387"/>
      <c r="J264" s="387"/>
      <c r="K264" s="387"/>
      <c r="L264" s="387"/>
      <c r="M264" s="387"/>
      <c r="N264" s="387"/>
      <c r="O264" s="387"/>
      <c r="P264" s="387"/>
      <c r="Q264" s="387"/>
    </row>
    <row r="265" spans="7:17" ht="16.5" customHeight="1">
      <c r="G265" s="387"/>
      <c r="H265" s="387"/>
      <c r="I265" s="387"/>
      <c r="J265" s="387"/>
      <c r="K265" s="387"/>
      <c r="L265" s="387"/>
      <c r="M265" s="387"/>
      <c r="N265" s="387"/>
      <c r="O265" s="387"/>
      <c r="P265" s="387"/>
      <c r="Q265" s="387"/>
    </row>
    <row r="266" spans="7:17" ht="16.5">
      <c r="G266" s="387"/>
      <c r="H266" s="387"/>
      <c r="I266" s="387"/>
      <c r="J266" s="387"/>
      <c r="K266" s="387"/>
      <c r="L266" s="387"/>
      <c r="M266" s="387"/>
      <c r="N266" s="387"/>
      <c r="O266" s="387"/>
      <c r="P266" s="387"/>
      <c r="Q266" s="387"/>
    </row>
    <row r="267" spans="7:17" ht="16.5">
      <c r="G267" s="387"/>
      <c r="H267" s="387"/>
      <c r="I267" s="387"/>
      <c r="J267" s="387"/>
      <c r="K267" s="387"/>
      <c r="L267" s="387"/>
      <c r="M267" s="387"/>
      <c r="N267" s="387"/>
      <c r="O267" s="387"/>
      <c r="P267" s="387"/>
      <c r="Q267" s="387"/>
    </row>
    <row r="268" spans="7:17" ht="16.5">
      <c r="G268" s="387"/>
      <c r="H268" s="387"/>
      <c r="I268" s="387"/>
      <c r="J268" s="387"/>
      <c r="K268" s="387"/>
      <c r="L268" s="387"/>
      <c r="M268" s="387"/>
      <c r="N268" s="387"/>
      <c r="O268" s="387"/>
      <c r="P268" s="387"/>
      <c r="Q268" s="387"/>
    </row>
    <row r="269" spans="7:17" ht="16.5">
      <c r="G269" s="387"/>
      <c r="H269" s="387"/>
      <c r="I269" s="387"/>
      <c r="J269" s="387"/>
      <c r="K269" s="387"/>
      <c r="L269" s="387"/>
      <c r="M269" s="387"/>
      <c r="N269" s="387"/>
      <c r="O269" s="387"/>
      <c r="P269" s="387"/>
      <c r="Q269" s="387"/>
    </row>
    <row r="270" spans="7:17" ht="16.5">
      <c r="G270" s="387"/>
      <c r="H270" s="387"/>
      <c r="I270" s="387"/>
      <c r="J270" s="387"/>
      <c r="K270" s="387"/>
      <c r="L270" s="387"/>
      <c r="M270" s="387"/>
      <c r="N270" s="387"/>
      <c r="O270" s="387"/>
      <c r="P270" s="387"/>
      <c r="Q270" s="387"/>
    </row>
    <row r="271" spans="7:17" ht="16.5">
      <c r="G271" s="387"/>
      <c r="H271" s="387"/>
      <c r="I271" s="387"/>
      <c r="J271" s="387"/>
      <c r="K271" s="387"/>
      <c r="L271" s="387"/>
      <c r="M271" s="387"/>
      <c r="N271" s="387"/>
      <c r="O271" s="387"/>
      <c r="P271" s="387"/>
      <c r="Q271" s="387"/>
    </row>
    <row r="272" spans="7:17" ht="16.5">
      <c r="G272" s="387"/>
      <c r="H272" s="387"/>
      <c r="I272" s="387"/>
      <c r="J272" s="387"/>
      <c r="K272" s="387"/>
      <c r="L272" s="387"/>
      <c r="M272" s="387"/>
      <c r="N272" s="387"/>
      <c r="O272" s="387"/>
      <c r="P272" s="387"/>
      <c r="Q272" s="387"/>
    </row>
    <row r="273" spans="7:17" ht="16.5">
      <c r="G273" s="387"/>
      <c r="H273" s="387"/>
      <c r="I273" s="387"/>
      <c r="J273" s="387"/>
      <c r="K273" s="387"/>
      <c r="L273" s="387"/>
      <c r="M273" s="387"/>
      <c r="N273" s="387"/>
      <c r="O273" s="387"/>
      <c r="P273" s="387"/>
      <c r="Q273" s="387"/>
    </row>
    <row r="274" spans="7:17" ht="16.5">
      <c r="G274" s="387"/>
      <c r="H274" s="387"/>
      <c r="I274" s="387"/>
      <c r="J274" s="387"/>
      <c r="K274" s="387"/>
      <c r="L274" s="387"/>
      <c r="M274" s="387"/>
      <c r="N274" s="387"/>
      <c r="O274" s="387"/>
      <c r="P274" s="387"/>
      <c r="Q274" s="387"/>
    </row>
    <row r="275" spans="7:17" ht="16.5">
      <c r="G275" s="387"/>
      <c r="H275" s="387"/>
      <c r="I275" s="387"/>
      <c r="J275" s="387"/>
      <c r="K275" s="387"/>
      <c r="L275" s="387"/>
      <c r="M275" s="387"/>
      <c r="N275" s="387"/>
      <c r="O275" s="387"/>
      <c r="P275" s="387"/>
      <c r="Q275" s="387"/>
    </row>
    <row r="276" spans="7:17" ht="16.5">
      <c r="G276" s="387"/>
      <c r="H276" s="387"/>
      <c r="I276" s="387"/>
      <c r="J276" s="387"/>
      <c r="K276" s="387"/>
      <c r="L276" s="387"/>
      <c r="M276" s="387"/>
      <c r="N276" s="387"/>
      <c r="O276" s="387"/>
      <c r="P276" s="387"/>
      <c r="Q276" s="387"/>
    </row>
    <row r="277" spans="7:17" ht="16.5">
      <c r="G277" s="387"/>
      <c r="H277" s="387"/>
      <c r="I277" s="387"/>
      <c r="J277" s="387"/>
      <c r="K277" s="387"/>
      <c r="L277" s="387"/>
      <c r="M277" s="387"/>
      <c r="N277" s="387"/>
      <c r="O277" s="387"/>
      <c r="P277" s="387"/>
      <c r="Q277" s="387"/>
    </row>
    <row r="278" spans="7:17" ht="16.5">
      <c r="G278" s="387"/>
      <c r="H278" s="387"/>
      <c r="I278" s="387"/>
      <c r="J278" s="387"/>
      <c r="K278" s="387"/>
      <c r="L278" s="387"/>
      <c r="M278" s="387"/>
      <c r="N278" s="387"/>
      <c r="O278" s="387"/>
      <c r="P278" s="387"/>
      <c r="Q278" s="387"/>
    </row>
    <row r="279" spans="7:17" ht="16.5">
      <c r="G279" s="387"/>
      <c r="H279" s="387"/>
      <c r="I279" s="387"/>
      <c r="J279" s="387"/>
      <c r="K279" s="387"/>
      <c r="L279" s="387"/>
      <c r="M279" s="387"/>
      <c r="N279" s="387"/>
      <c r="O279" s="387"/>
      <c r="P279" s="387"/>
      <c r="Q279" s="387"/>
    </row>
    <row r="280" spans="7:17" ht="16.5">
      <c r="G280" s="387"/>
      <c r="H280" s="387"/>
      <c r="I280" s="387"/>
      <c r="J280" s="387"/>
      <c r="K280" s="387"/>
      <c r="L280" s="387"/>
      <c r="M280" s="387"/>
      <c r="N280" s="387"/>
      <c r="O280" s="387"/>
      <c r="P280" s="387"/>
      <c r="Q280" s="387"/>
    </row>
    <row r="281" spans="7:17" ht="16.5">
      <c r="G281" s="387"/>
      <c r="H281" s="387"/>
      <c r="I281" s="387"/>
      <c r="J281" s="387"/>
      <c r="K281" s="387"/>
      <c r="L281" s="387"/>
      <c r="M281" s="387"/>
      <c r="N281" s="387"/>
      <c r="O281" s="387"/>
      <c r="P281" s="387"/>
      <c r="Q281" s="387"/>
    </row>
    <row r="282" spans="7:17" ht="16.5">
      <c r="G282" s="387"/>
      <c r="H282" s="387"/>
      <c r="I282" s="387"/>
      <c r="J282" s="387"/>
      <c r="K282" s="387"/>
      <c r="L282" s="387"/>
      <c r="M282" s="387"/>
      <c r="N282" s="387"/>
      <c r="O282" s="387"/>
      <c r="P282" s="387"/>
      <c r="Q282" s="387"/>
    </row>
    <row r="283" spans="7:17" ht="16.5">
      <c r="G283" s="387"/>
      <c r="H283" s="387"/>
      <c r="I283" s="387"/>
      <c r="J283" s="387"/>
      <c r="K283" s="387"/>
      <c r="L283" s="387"/>
      <c r="M283" s="387"/>
      <c r="N283" s="387"/>
      <c r="O283" s="387"/>
      <c r="P283" s="387"/>
      <c r="Q283" s="387"/>
    </row>
    <row r="284" spans="7:17" ht="16.5">
      <c r="G284" s="387"/>
      <c r="H284" s="387"/>
      <c r="I284" s="387"/>
      <c r="J284" s="387"/>
      <c r="K284" s="387"/>
      <c r="L284" s="387"/>
      <c r="M284" s="387"/>
      <c r="N284" s="387"/>
      <c r="O284" s="387"/>
      <c r="P284" s="387"/>
      <c r="Q284" s="387"/>
    </row>
    <row r="285" spans="7:17" ht="16.5">
      <c r="G285" s="387"/>
      <c r="H285" s="387"/>
      <c r="I285" s="387"/>
      <c r="J285" s="387"/>
      <c r="K285" s="387"/>
      <c r="L285" s="387"/>
      <c r="M285" s="387"/>
      <c r="N285" s="387"/>
      <c r="O285" s="387"/>
      <c r="P285" s="387"/>
      <c r="Q285" s="387"/>
    </row>
    <row r="286" spans="7:17" ht="16.5">
      <c r="G286" s="387"/>
      <c r="H286" s="387"/>
      <c r="I286" s="387"/>
      <c r="J286" s="387"/>
      <c r="K286" s="387"/>
      <c r="L286" s="387"/>
      <c r="M286" s="387"/>
      <c r="N286" s="387"/>
      <c r="O286" s="387"/>
      <c r="P286" s="387"/>
      <c r="Q286" s="387"/>
    </row>
    <row r="287" spans="7:17" ht="16.5">
      <c r="G287" s="387"/>
      <c r="H287" s="387"/>
      <c r="I287" s="387"/>
      <c r="J287" s="387"/>
      <c r="K287" s="387"/>
      <c r="L287" s="387"/>
      <c r="M287" s="387"/>
      <c r="N287" s="387"/>
      <c r="O287" s="387"/>
      <c r="P287" s="387"/>
      <c r="Q287" s="387"/>
    </row>
    <row r="288" spans="7:17" ht="16.5">
      <c r="G288" s="387"/>
      <c r="H288" s="387"/>
      <c r="I288" s="387"/>
      <c r="J288" s="387"/>
      <c r="K288" s="387"/>
      <c r="L288" s="387"/>
      <c r="M288" s="387"/>
      <c r="N288" s="387"/>
      <c r="O288" s="387"/>
      <c r="P288" s="387"/>
      <c r="Q288" s="387"/>
    </row>
    <row r="289" spans="7:17" ht="16.5">
      <c r="G289" s="387"/>
      <c r="H289" s="387"/>
      <c r="I289" s="387"/>
      <c r="J289" s="387"/>
      <c r="K289" s="387"/>
      <c r="L289" s="387"/>
      <c r="M289" s="387"/>
      <c r="N289" s="387"/>
      <c r="O289" s="387"/>
      <c r="P289" s="387"/>
      <c r="Q289" s="387"/>
    </row>
    <row r="290" spans="7:17" ht="16.5">
      <c r="G290" s="387"/>
      <c r="H290" s="387"/>
      <c r="I290" s="387"/>
      <c r="J290" s="387"/>
      <c r="K290" s="387"/>
      <c r="L290" s="387"/>
      <c r="M290" s="387"/>
      <c r="N290" s="387"/>
      <c r="O290" s="387"/>
      <c r="P290" s="387"/>
      <c r="Q290" s="387"/>
    </row>
    <row r="291" spans="7:17" ht="16.5">
      <c r="G291" s="387"/>
      <c r="H291" s="387"/>
      <c r="I291" s="387"/>
      <c r="J291" s="387"/>
      <c r="K291" s="387"/>
      <c r="L291" s="387"/>
      <c r="M291" s="387"/>
      <c r="N291" s="387"/>
      <c r="O291" s="387"/>
      <c r="P291" s="387"/>
      <c r="Q291" s="387"/>
    </row>
    <row r="292" spans="7:17" ht="16.5">
      <c r="G292" s="387"/>
      <c r="H292" s="387"/>
      <c r="I292" s="387"/>
      <c r="J292" s="387"/>
      <c r="K292" s="387"/>
      <c r="L292" s="387"/>
      <c r="M292" s="387"/>
      <c r="N292" s="387"/>
      <c r="O292" s="387"/>
      <c r="P292" s="387"/>
      <c r="Q292" s="387"/>
    </row>
    <row r="293" spans="7:17" ht="16.5">
      <c r="G293" s="387"/>
      <c r="H293" s="387"/>
      <c r="I293" s="387"/>
      <c r="J293" s="387"/>
      <c r="K293" s="387"/>
      <c r="L293" s="387"/>
      <c r="M293" s="387"/>
      <c r="N293" s="387"/>
      <c r="O293" s="387"/>
      <c r="P293" s="387"/>
      <c r="Q293" s="387"/>
    </row>
    <row r="294" spans="7:17" ht="16.5">
      <c r="G294" s="387"/>
      <c r="H294" s="387"/>
      <c r="I294" s="387"/>
      <c r="J294" s="387"/>
      <c r="K294" s="387"/>
      <c r="L294" s="387"/>
      <c r="M294" s="387"/>
      <c r="N294" s="387"/>
      <c r="O294" s="387"/>
      <c r="P294" s="387"/>
      <c r="Q294" s="387"/>
    </row>
    <row r="295" spans="7:17" ht="16.5">
      <c r="G295" s="387"/>
      <c r="H295" s="387"/>
      <c r="I295" s="387"/>
      <c r="J295" s="387"/>
      <c r="K295" s="387"/>
      <c r="L295" s="387"/>
      <c r="M295" s="387"/>
      <c r="N295" s="387"/>
      <c r="O295" s="387"/>
      <c r="P295" s="387"/>
      <c r="Q295" s="387"/>
    </row>
    <row r="296" spans="7:17" ht="16.5">
      <c r="G296" s="387"/>
      <c r="H296" s="387"/>
      <c r="I296" s="387"/>
      <c r="J296" s="387"/>
      <c r="K296" s="387"/>
      <c r="L296" s="387"/>
      <c r="M296" s="387"/>
      <c r="N296" s="387"/>
      <c r="O296" s="387"/>
      <c r="P296" s="387"/>
      <c r="Q296" s="387"/>
    </row>
    <row r="297" spans="7:17" ht="16.5">
      <c r="G297" s="387"/>
      <c r="H297" s="387"/>
      <c r="I297" s="387"/>
      <c r="J297" s="387"/>
      <c r="K297" s="387"/>
      <c r="L297" s="387"/>
      <c r="M297" s="387"/>
      <c r="N297" s="387"/>
      <c r="O297" s="387"/>
      <c r="P297" s="387"/>
      <c r="Q297" s="387"/>
    </row>
    <row r="298" spans="7:17" ht="16.5">
      <c r="G298" s="387"/>
      <c r="H298" s="387"/>
      <c r="I298" s="387"/>
      <c r="J298" s="387"/>
      <c r="K298" s="387"/>
      <c r="L298" s="387"/>
      <c r="M298" s="387"/>
      <c r="N298" s="387"/>
      <c r="O298" s="387"/>
      <c r="P298" s="387"/>
      <c r="Q298" s="387"/>
    </row>
    <row r="299" spans="7:17" ht="16.5">
      <c r="G299" s="387"/>
      <c r="H299" s="387"/>
      <c r="I299" s="387"/>
      <c r="J299" s="387"/>
      <c r="K299" s="387"/>
      <c r="L299" s="387"/>
      <c r="M299" s="387"/>
      <c r="N299" s="387"/>
      <c r="O299" s="387"/>
      <c r="P299" s="387"/>
      <c r="Q299" s="387"/>
    </row>
    <row r="300" spans="7:17" ht="16.5">
      <c r="G300" s="387"/>
      <c r="H300" s="387"/>
      <c r="I300" s="387"/>
      <c r="J300" s="387"/>
      <c r="K300" s="387"/>
      <c r="L300" s="387"/>
      <c r="M300" s="387"/>
      <c r="N300" s="387"/>
      <c r="O300" s="387"/>
      <c r="P300" s="387"/>
      <c r="Q300" s="387"/>
    </row>
    <row r="301" spans="7:17" ht="16.5">
      <c r="G301" s="387"/>
      <c r="H301" s="387"/>
      <c r="I301" s="387"/>
      <c r="J301" s="387"/>
      <c r="K301" s="387"/>
      <c r="L301" s="387"/>
      <c r="M301" s="387"/>
      <c r="N301" s="387"/>
      <c r="O301" s="387"/>
      <c r="P301" s="387"/>
      <c r="Q301" s="387"/>
    </row>
    <row r="302" spans="7:17" ht="16.5">
      <c r="G302" s="387"/>
      <c r="H302" s="387"/>
      <c r="I302" s="387"/>
      <c r="J302" s="387"/>
      <c r="K302" s="387"/>
      <c r="L302" s="387"/>
      <c r="M302" s="387"/>
      <c r="N302" s="387"/>
      <c r="O302" s="387"/>
      <c r="P302" s="387"/>
      <c r="Q302" s="387"/>
    </row>
    <row r="303" spans="7:17" ht="16.5">
      <c r="G303" s="387"/>
      <c r="H303" s="387"/>
      <c r="I303" s="387"/>
      <c r="J303" s="387"/>
      <c r="K303" s="387"/>
      <c r="L303" s="387"/>
      <c r="M303" s="387"/>
      <c r="N303" s="387"/>
      <c r="O303" s="387"/>
      <c r="P303" s="387"/>
      <c r="Q303" s="387"/>
    </row>
    <row r="304" spans="7:17" ht="16.5">
      <c r="G304" s="387"/>
      <c r="H304" s="387"/>
      <c r="I304" s="387"/>
      <c r="J304" s="387"/>
      <c r="K304" s="387"/>
      <c r="L304" s="387"/>
      <c r="M304" s="387"/>
      <c r="N304" s="387"/>
      <c r="O304" s="387"/>
      <c r="P304" s="387"/>
      <c r="Q304" s="387"/>
    </row>
    <row r="305" spans="7:17" ht="16.5">
      <c r="G305" s="387"/>
      <c r="H305" s="387"/>
      <c r="I305" s="387"/>
      <c r="J305" s="387"/>
      <c r="K305" s="387"/>
      <c r="L305" s="387"/>
      <c r="M305" s="387"/>
      <c r="N305" s="387"/>
      <c r="O305" s="387"/>
      <c r="P305" s="387"/>
      <c r="Q305" s="387"/>
    </row>
    <row r="306" spans="7:17" ht="16.5">
      <c r="G306" s="387"/>
      <c r="H306" s="387"/>
      <c r="I306" s="387"/>
      <c r="J306" s="387"/>
      <c r="K306" s="387"/>
      <c r="L306" s="387"/>
      <c r="M306" s="387"/>
      <c r="N306" s="387"/>
      <c r="O306" s="387"/>
      <c r="P306" s="387"/>
      <c r="Q306" s="387"/>
    </row>
    <row r="307" spans="7:17" ht="16.5">
      <c r="G307" s="387"/>
      <c r="H307" s="387"/>
      <c r="I307" s="387"/>
      <c r="J307" s="387"/>
      <c r="K307" s="387"/>
      <c r="L307" s="387"/>
      <c r="M307" s="387"/>
      <c r="N307" s="387"/>
      <c r="O307" s="387"/>
      <c r="P307" s="387"/>
      <c r="Q307" s="387"/>
    </row>
    <row r="308" spans="7:17" ht="16.5">
      <c r="G308" s="387"/>
      <c r="H308" s="387"/>
      <c r="I308" s="387"/>
      <c r="J308" s="387"/>
      <c r="K308" s="387"/>
      <c r="L308" s="387"/>
      <c r="M308" s="387"/>
      <c r="N308" s="387"/>
      <c r="O308" s="387"/>
      <c r="P308" s="387"/>
      <c r="Q308" s="387"/>
    </row>
    <row r="309" spans="7:17" ht="16.5">
      <c r="G309" s="387"/>
      <c r="H309" s="387"/>
      <c r="I309" s="387"/>
      <c r="J309" s="387"/>
      <c r="K309" s="387"/>
      <c r="L309" s="387"/>
      <c r="M309" s="387"/>
      <c r="N309" s="387"/>
      <c r="O309" s="387"/>
      <c r="P309" s="387"/>
      <c r="Q309" s="387"/>
    </row>
    <row r="310" spans="7:17" ht="16.5">
      <c r="G310" s="387"/>
      <c r="H310" s="387"/>
      <c r="I310" s="387"/>
      <c r="J310" s="387"/>
      <c r="K310" s="387"/>
      <c r="L310" s="387"/>
      <c r="M310" s="387"/>
      <c r="N310" s="387"/>
      <c r="O310" s="387"/>
      <c r="P310" s="387"/>
      <c r="Q310" s="387"/>
    </row>
    <row r="311" spans="7:17" ht="16.5">
      <c r="G311" s="387"/>
      <c r="H311" s="387"/>
      <c r="I311" s="387"/>
      <c r="J311" s="387"/>
      <c r="K311" s="387"/>
      <c r="L311" s="387"/>
      <c r="M311" s="387"/>
      <c r="N311" s="387"/>
      <c r="O311" s="387"/>
      <c r="P311" s="387"/>
      <c r="Q311" s="387"/>
    </row>
    <row r="312" spans="7:17" ht="16.5">
      <c r="G312" s="387"/>
      <c r="H312" s="387"/>
      <c r="I312" s="387"/>
      <c r="J312" s="387"/>
      <c r="K312" s="387"/>
      <c r="L312" s="387"/>
      <c r="M312" s="387"/>
      <c r="N312" s="387"/>
      <c r="O312" s="387"/>
      <c r="P312" s="387"/>
      <c r="Q312" s="387"/>
    </row>
    <row r="313" spans="7:17" ht="16.5">
      <c r="G313" s="387"/>
      <c r="H313" s="387"/>
      <c r="I313" s="387"/>
      <c r="J313" s="387"/>
      <c r="K313" s="387"/>
      <c r="L313" s="387"/>
      <c r="M313" s="387"/>
      <c r="N313" s="387"/>
      <c r="O313" s="387"/>
      <c r="P313" s="387"/>
      <c r="Q313" s="387"/>
    </row>
  </sheetData>
  <mergeCells count="146">
    <mergeCell ref="A66:F66"/>
    <mergeCell ref="J66:Q66"/>
    <mergeCell ref="J70:Q70"/>
    <mergeCell ref="J68:Q68"/>
    <mergeCell ref="A223:F223"/>
    <mergeCell ref="J225:Q225"/>
    <mergeCell ref="G239:H239"/>
    <mergeCell ref="I239:J239"/>
    <mergeCell ref="K239:L239"/>
    <mergeCell ref="G236:H236"/>
    <mergeCell ref="I236:J236"/>
    <mergeCell ref="K236:L236"/>
    <mergeCell ref="G237:H237"/>
    <mergeCell ref="I237:J237"/>
    <mergeCell ref="K237:L237"/>
    <mergeCell ref="A206:F206"/>
    <mergeCell ref="H206:Q206"/>
    <mergeCell ref="H208:Q208"/>
    <mergeCell ref="H210:Q210"/>
    <mergeCell ref="A217:F217"/>
    <mergeCell ref="H182:Q182"/>
    <mergeCell ref="H212:Q212"/>
    <mergeCell ref="H211:Q211"/>
    <mergeCell ref="H217:Q217"/>
    <mergeCell ref="H178:Q178"/>
    <mergeCell ref="H179:Q179"/>
    <mergeCell ref="H180:Q180"/>
    <mergeCell ref="H181:Q181"/>
    <mergeCell ref="G235:H235"/>
    <mergeCell ref="I235:J235"/>
    <mergeCell ref="K235:L235"/>
    <mergeCell ref="H229:Q229"/>
    <mergeCell ref="H231:Q231"/>
    <mergeCell ref="H219:Q219"/>
    <mergeCell ref="J223:Q223"/>
    <mergeCell ref="J224:Q224"/>
    <mergeCell ref="H177:Q177"/>
    <mergeCell ref="H174:Q174"/>
    <mergeCell ref="H176:Q176"/>
    <mergeCell ref="H172:Q172"/>
    <mergeCell ref="H119:Q119"/>
    <mergeCell ref="H121:Q121"/>
    <mergeCell ref="H122:Q122"/>
    <mergeCell ref="H123:Q123"/>
    <mergeCell ref="H124:Q124"/>
    <mergeCell ref="J156:Q156"/>
    <mergeCell ref="A172:F172"/>
    <mergeCell ref="A229:F229"/>
    <mergeCell ref="J42:Q42"/>
    <mergeCell ref="J43:Q43"/>
    <mergeCell ref="J44:Q44"/>
    <mergeCell ref="J54:Q54"/>
    <mergeCell ref="A94:F94"/>
    <mergeCell ref="A100:F100"/>
    <mergeCell ref="J55:Q55"/>
    <mergeCell ref="L103:Q103"/>
    <mergeCell ref="J107:Q107"/>
    <mergeCell ref="H118:Q118"/>
    <mergeCell ref="H125:Q125"/>
    <mergeCell ref="H126:Q126"/>
    <mergeCell ref="A131:F131"/>
    <mergeCell ref="H131:Q131"/>
    <mergeCell ref="H158:Q158"/>
    <mergeCell ref="J160:Q160"/>
    <mergeCell ref="J159:Q159"/>
    <mergeCell ref="A165:F165"/>
    <mergeCell ref="A146:F146"/>
    <mergeCell ref="J146:Q146"/>
    <mergeCell ref="J152:Q152"/>
    <mergeCell ref="A156:F156"/>
    <mergeCell ref="A6:F6"/>
    <mergeCell ref="J6:Q6"/>
    <mergeCell ref="J7:Q7"/>
    <mergeCell ref="J8:Q8"/>
    <mergeCell ref="J11:Q11"/>
    <mergeCell ref="J12:Q12"/>
    <mergeCell ref="J96:Q96"/>
    <mergeCell ref="L100:Q100"/>
    <mergeCell ref="L102:Q102"/>
    <mergeCell ref="J14:Q14"/>
    <mergeCell ref="J25:Q25"/>
    <mergeCell ref="J29:Q29"/>
    <mergeCell ref="J37:Q37"/>
    <mergeCell ref="J34:Q34"/>
    <mergeCell ref="J13:Q13"/>
    <mergeCell ref="A41:F41"/>
    <mergeCell ref="A54:F54"/>
    <mergeCell ref="A76:F76"/>
    <mergeCell ref="A86:F86"/>
    <mergeCell ref="A81:F81"/>
    <mergeCell ref="J41:Q41"/>
    <mergeCell ref="J24:Q24"/>
    <mergeCell ref="J26:Q26"/>
    <mergeCell ref="J28:Q28"/>
    <mergeCell ref="A107:F107"/>
    <mergeCell ref="H138:Q138"/>
    <mergeCell ref="H139:Q139"/>
    <mergeCell ref="H140:Q140"/>
    <mergeCell ref="H141:Q141"/>
    <mergeCell ref="H133:Q133"/>
    <mergeCell ref="H135:Q135"/>
    <mergeCell ref="H136:Q136"/>
    <mergeCell ref="H137:Q137"/>
    <mergeCell ref="J109:Q109"/>
    <mergeCell ref="A114:F114"/>
    <mergeCell ref="H114:Q114"/>
    <mergeCell ref="U82:U103"/>
    <mergeCell ref="J63:Q63"/>
    <mergeCell ref="J86:Q86"/>
    <mergeCell ref="J90:Q90"/>
    <mergeCell ref="J94:Q94"/>
    <mergeCell ref="J81:Q81"/>
    <mergeCell ref="J82:Q82"/>
    <mergeCell ref="J83:Q83"/>
    <mergeCell ref="J57:Q57"/>
    <mergeCell ref="J58:Q58"/>
    <mergeCell ref="J59:Q59"/>
    <mergeCell ref="J60:Q60"/>
    <mergeCell ref="J76:Q76"/>
    <mergeCell ref="J77:Q77"/>
    <mergeCell ref="J61:Q61"/>
    <mergeCell ref="J78:Q78"/>
    <mergeCell ref="A242:F242"/>
    <mergeCell ref="G242:H242"/>
    <mergeCell ref="I242:J242"/>
    <mergeCell ref="K242:L242"/>
    <mergeCell ref="A243:F243"/>
    <mergeCell ref="K243:Q243"/>
    <mergeCell ref="K245:Q245"/>
    <mergeCell ref="J9:Q9"/>
    <mergeCell ref="J10:Q10"/>
    <mergeCell ref="J15:Q15"/>
    <mergeCell ref="J16:Q16"/>
    <mergeCell ref="J32:Q32"/>
    <mergeCell ref="J33:Q33"/>
    <mergeCell ref="J35:Q35"/>
    <mergeCell ref="J56:Q56"/>
    <mergeCell ref="J22:Q22"/>
    <mergeCell ref="J23:Q23"/>
    <mergeCell ref="J17:Q17"/>
    <mergeCell ref="J19:Q19"/>
    <mergeCell ref="J21:Q21"/>
    <mergeCell ref="J18:Q18"/>
    <mergeCell ref="J36:Q36"/>
    <mergeCell ref="J20:Q20"/>
    <mergeCell ref="H116:Q116"/>
  </mergeCells>
  <phoneticPr fontId="0" type="noConversion"/>
  <printOptions horizontalCentered="1"/>
  <pageMargins left="0.25" right="0.25" top="0.75" bottom="0.75" header="0.5" footer="0.5"/>
  <pageSetup scale="43" fitToHeight="3" orientation="landscape" r:id="rId1"/>
  <headerFooter alignWithMargins="0">
    <oddHeader>&amp;R&amp;"Times New Roman,Bold"&amp;14Appendix A
Page &amp;P of &amp;N</oddHeader>
  </headerFooter>
  <rowBreaks count="2" manualBreakCount="2">
    <brk id="154" max="16" man="1"/>
    <brk id="2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workbookViewId="0">
      <selection activeCell="L52" sqref="L52"/>
    </sheetView>
  </sheetViews>
  <sheetFormatPr defaultColWidth="9.140625" defaultRowHeight="12.75"/>
  <cols>
    <col min="1" max="1" width="23.7109375" style="627" customWidth="1"/>
    <col min="2" max="2" width="9.85546875" style="627" customWidth="1"/>
    <col min="3" max="3" width="9.140625" style="627"/>
    <col min="4" max="4" width="13" style="627" customWidth="1"/>
    <col min="5" max="5" width="14.140625" style="627" customWidth="1"/>
    <col min="6" max="16384" width="9.140625" style="627"/>
  </cols>
  <sheetData>
    <row r="1" spans="1:10" ht="18">
      <c r="A1" s="1078" t="str">
        <f>'ATT H-2A'!A4</f>
        <v>Baltimore Gas and Electric Company</v>
      </c>
      <c r="B1" s="1070"/>
      <c r="C1" s="1070"/>
      <c r="D1" s="1070"/>
      <c r="E1" s="1070"/>
      <c r="F1" s="1070"/>
      <c r="G1" s="1070"/>
      <c r="H1" s="1070"/>
      <c r="I1" s="1070"/>
      <c r="J1" s="1070"/>
    </row>
    <row r="2" spans="1:10" ht="15.75">
      <c r="A2" s="419"/>
      <c r="B2" s="258"/>
      <c r="D2" s="152"/>
    </row>
    <row r="3" spans="1:10" ht="15.75">
      <c r="A3" s="1073" t="s">
        <v>659</v>
      </c>
      <c r="B3" s="1070"/>
      <c r="C3" s="1070"/>
      <c r="D3" s="1070"/>
      <c r="E3" s="1070"/>
      <c r="F3" s="1070"/>
      <c r="G3" s="1070"/>
      <c r="H3" s="1070"/>
      <c r="I3" s="1070"/>
      <c r="J3" s="1070"/>
    </row>
    <row r="8" spans="1:10">
      <c r="A8" s="574" t="s">
        <v>924</v>
      </c>
    </row>
    <row r="9" spans="1:10">
      <c r="A9" s="574" t="s">
        <v>925</v>
      </c>
    </row>
    <row r="12" spans="1:10">
      <c r="D12" s="960" t="s">
        <v>448</v>
      </c>
      <c r="E12" s="960" t="s">
        <v>448</v>
      </c>
      <c r="F12" s="659"/>
      <c r="G12" s="659"/>
    </row>
    <row r="13" spans="1:10">
      <c r="D13" s="960" t="s">
        <v>109</v>
      </c>
      <c r="E13" s="960" t="s">
        <v>109</v>
      </c>
      <c r="F13" s="659"/>
      <c r="G13" s="659"/>
    </row>
    <row r="14" spans="1:10">
      <c r="A14" s="627" t="s">
        <v>7</v>
      </c>
      <c r="D14" s="659" t="s">
        <v>110</v>
      </c>
      <c r="E14" s="659" t="s">
        <v>110</v>
      </c>
      <c r="F14" s="659"/>
      <c r="G14" s="659"/>
    </row>
    <row r="15" spans="1:10">
      <c r="D15" s="659" t="s">
        <v>111</v>
      </c>
      <c r="E15" s="659" t="s">
        <v>112</v>
      </c>
      <c r="F15" s="659"/>
      <c r="G15" s="659"/>
    </row>
    <row r="16" spans="1:10">
      <c r="F16" s="645"/>
      <c r="G16" s="645"/>
    </row>
    <row r="17" spans="1:9">
      <c r="B17" s="924"/>
    </row>
    <row r="19" spans="1:9">
      <c r="A19" s="627" t="s">
        <v>8</v>
      </c>
      <c r="D19" s="990">
        <v>89434802.892639935</v>
      </c>
      <c r="E19" s="990">
        <v>36175875.327359974</v>
      </c>
    </row>
    <row r="24" spans="1:9">
      <c r="A24" s="627" t="s">
        <v>113</v>
      </c>
    </row>
    <row r="25" spans="1:9">
      <c r="A25" s="645" t="s">
        <v>926</v>
      </c>
      <c r="B25" s="645"/>
      <c r="C25" s="645"/>
      <c r="D25" s="645"/>
      <c r="E25" s="645"/>
      <c r="F25" s="645"/>
      <c r="G25" s="645"/>
      <c r="H25" s="645"/>
      <c r="I25" s="645"/>
    </row>
    <row r="26" spans="1:9">
      <c r="A26" s="645" t="s">
        <v>927</v>
      </c>
      <c r="B26" s="645"/>
      <c r="C26" s="645"/>
      <c r="D26" s="645"/>
      <c r="E26" s="645"/>
      <c r="F26" s="645"/>
      <c r="G26" s="645"/>
      <c r="H26" s="645"/>
      <c r="I26" s="645"/>
    </row>
    <row r="27" spans="1:9">
      <c r="A27" s="645" t="s">
        <v>928</v>
      </c>
      <c r="B27" s="645"/>
      <c r="C27" s="645"/>
      <c r="D27" s="645"/>
      <c r="E27" s="645"/>
      <c r="F27" s="645"/>
      <c r="G27" s="645"/>
      <c r="H27" s="645"/>
      <c r="I27" s="645"/>
    </row>
    <row r="28" spans="1:9">
      <c r="A28" s="645" t="s">
        <v>929</v>
      </c>
      <c r="B28" s="645"/>
      <c r="C28" s="645"/>
      <c r="D28" s="645"/>
      <c r="E28" s="645"/>
      <c r="F28" s="645"/>
      <c r="G28" s="645"/>
      <c r="H28" s="645"/>
      <c r="I28" s="645"/>
    </row>
    <row r="29" spans="1:9">
      <c r="A29" s="645"/>
      <c r="B29" s="645"/>
      <c r="C29" s="645"/>
      <c r="D29" s="645"/>
      <c r="E29" s="645"/>
      <c r="F29" s="645"/>
      <c r="G29" s="645"/>
      <c r="H29" s="645"/>
      <c r="I29" s="645"/>
    </row>
    <row r="30" spans="1:9">
      <c r="A30" s="645" t="s">
        <v>930</v>
      </c>
      <c r="B30" s="645"/>
      <c r="C30" s="645"/>
      <c r="D30" s="645"/>
      <c r="E30" s="645"/>
      <c r="F30" s="645"/>
      <c r="G30" s="645"/>
      <c r="H30" s="645"/>
      <c r="I30" s="645"/>
    </row>
    <row r="31" spans="1:9">
      <c r="A31" s="645" t="s">
        <v>931</v>
      </c>
      <c r="B31" s="645"/>
      <c r="C31" s="645"/>
      <c r="D31" s="645"/>
      <c r="E31" s="645"/>
      <c r="F31" s="645"/>
      <c r="G31" s="645"/>
      <c r="H31" s="645"/>
      <c r="I31" s="645"/>
    </row>
    <row r="32" spans="1:9">
      <c r="A32" s="645" t="s">
        <v>932</v>
      </c>
      <c r="B32" s="645"/>
      <c r="C32" s="645"/>
      <c r="D32" s="645"/>
      <c r="E32" s="645"/>
      <c r="F32" s="645"/>
      <c r="G32" s="645"/>
      <c r="H32" s="645"/>
      <c r="I32" s="645"/>
    </row>
    <row r="33" spans="1:9">
      <c r="A33" s="645" t="s">
        <v>114</v>
      </c>
      <c r="B33" s="645"/>
      <c r="C33" s="645"/>
      <c r="D33" s="645"/>
      <c r="E33" s="645"/>
      <c r="F33" s="645"/>
      <c r="G33" s="645"/>
      <c r="H33" s="645"/>
      <c r="I33" s="645"/>
    </row>
    <row r="34" spans="1:9">
      <c r="A34" s="645" t="s">
        <v>115</v>
      </c>
      <c r="B34" s="645"/>
      <c r="C34" s="645"/>
      <c r="D34" s="645"/>
      <c r="E34" s="645"/>
      <c r="F34" s="645"/>
      <c r="G34" s="645"/>
      <c r="H34" s="645"/>
      <c r="I34" s="645"/>
    </row>
    <row r="35" spans="1:9">
      <c r="A35" s="645" t="s">
        <v>116</v>
      </c>
      <c r="B35" s="645"/>
      <c r="C35" s="645"/>
      <c r="D35" s="645"/>
      <c r="E35" s="645"/>
      <c r="F35" s="645"/>
      <c r="G35" s="645"/>
      <c r="H35" s="645"/>
      <c r="I35" s="645"/>
    </row>
    <row r="36" spans="1:9">
      <c r="A36" s="645" t="s">
        <v>117</v>
      </c>
      <c r="B36" s="645"/>
      <c r="C36" s="645"/>
      <c r="D36" s="645"/>
      <c r="E36" s="645"/>
      <c r="F36" s="645"/>
      <c r="G36" s="645"/>
      <c r="H36" s="645"/>
      <c r="I36" s="645"/>
    </row>
    <row r="37" spans="1:9">
      <c r="A37" s="645" t="s">
        <v>1004</v>
      </c>
      <c r="B37" s="645"/>
      <c r="C37" s="645"/>
      <c r="D37" s="645"/>
      <c r="E37" s="645"/>
      <c r="F37" s="645"/>
      <c r="G37" s="645"/>
      <c r="H37" s="645"/>
      <c r="I37" s="645"/>
    </row>
    <row r="38" spans="1:9">
      <c r="A38" s="645" t="s">
        <v>118</v>
      </c>
      <c r="B38" s="645"/>
      <c r="C38" s="645"/>
      <c r="D38" s="645"/>
      <c r="E38" s="645"/>
      <c r="F38" s="645"/>
      <c r="G38" s="645"/>
      <c r="H38" s="645"/>
      <c r="I38" s="645"/>
    </row>
    <row r="39" spans="1:9">
      <c r="A39" s="645"/>
      <c r="B39" s="645"/>
      <c r="C39" s="645"/>
      <c r="D39" s="645"/>
      <c r="E39" s="645"/>
      <c r="F39" s="645"/>
      <c r="G39" s="645"/>
      <c r="H39" s="645"/>
      <c r="I39" s="645"/>
    </row>
    <row r="40" spans="1:9">
      <c r="A40" s="645" t="s">
        <v>1005</v>
      </c>
      <c r="B40" s="645"/>
      <c r="C40" s="645"/>
      <c r="D40" s="645"/>
      <c r="E40" s="645"/>
      <c r="F40" s="645"/>
      <c r="G40" s="645"/>
      <c r="H40" s="645"/>
      <c r="I40" s="645"/>
    </row>
    <row r="41" spans="1:9">
      <c r="A41" s="645" t="s">
        <v>1006</v>
      </c>
      <c r="B41" s="645"/>
      <c r="C41" s="645"/>
      <c r="D41" s="645"/>
      <c r="E41" s="645"/>
      <c r="F41" s="645"/>
      <c r="G41" s="645"/>
      <c r="H41" s="645"/>
      <c r="I41" s="645"/>
    </row>
    <row r="42" spans="1:9">
      <c r="A42" s="645" t="s">
        <v>1007</v>
      </c>
      <c r="B42" s="645"/>
      <c r="C42" s="645"/>
      <c r="D42" s="645"/>
      <c r="E42" s="645"/>
      <c r="F42" s="645"/>
      <c r="G42" s="645"/>
      <c r="H42" s="645"/>
      <c r="I42" s="645"/>
    </row>
    <row r="43" spans="1:9">
      <c r="A43" s="645"/>
      <c r="B43" s="645"/>
      <c r="C43" s="645"/>
      <c r="D43" s="645"/>
      <c r="E43" s="645"/>
      <c r="F43" s="645"/>
      <c r="G43" s="645"/>
      <c r="H43" s="645"/>
      <c r="I43" s="645"/>
    </row>
    <row r="44" spans="1:9">
      <c r="A44" s="645"/>
      <c r="B44" s="645"/>
      <c r="C44" s="645"/>
      <c r="D44" s="645"/>
      <c r="E44" s="645"/>
      <c r="F44" s="645"/>
      <c r="G44" s="645"/>
      <c r="H44" s="645"/>
      <c r="I44" s="645"/>
    </row>
    <row r="45" spans="1:9">
      <c r="A45" s="645"/>
      <c r="B45" s="645"/>
      <c r="C45" s="645"/>
      <c r="D45" s="645"/>
      <c r="E45" s="645"/>
      <c r="F45" s="645"/>
      <c r="G45" s="645"/>
      <c r="H45" s="645"/>
      <c r="I45" s="645"/>
    </row>
    <row r="46" spans="1:9">
      <c r="A46" s="645"/>
      <c r="B46" s="645"/>
      <c r="C46" s="645"/>
      <c r="D46" s="645"/>
      <c r="E46" s="645"/>
      <c r="F46" s="645"/>
      <c r="G46" s="645"/>
      <c r="H46" s="645"/>
      <c r="I46" s="645"/>
    </row>
  </sheetData>
  <mergeCells count="2">
    <mergeCell ref="A1:J1"/>
    <mergeCell ref="A3:J3"/>
  </mergeCells>
  <phoneticPr fontId="0" type="noConversion"/>
  <pageMargins left="0.75" right="0.75" top="1" bottom="1" header="0.5" footer="0.5"/>
  <pageSetup scale="78" orientation="portrait" r:id="rId1"/>
  <headerFooter alignWithMargins="0">
    <oddHeader>&amp;R&amp;"Times New Roman,Bold"Appendix A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ATT H-2A</vt:lpstr>
      <vt:lpstr>1 - ADIT</vt:lpstr>
      <vt:lpstr>2 - Other Tax</vt:lpstr>
      <vt:lpstr>3 - Revenue Credits</vt:lpstr>
      <vt:lpstr>4 - 100 Basis Pt ROE</vt:lpstr>
      <vt:lpstr>Exh E - Cap Add Worksheet</vt:lpstr>
      <vt:lpstr>Exh F - AA-BL Items</vt:lpstr>
      <vt:lpstr>5 - Cost Support</vt:lpstr>
      <vt:lpstr>5a - Affiliate Allocations</vt:lpstr>
      <vt:lpstr>6- Est &amp; True-up WS</vt:lpstr>
      <vt:lpstr>7 - Cap Add WS</vt:lpstr>
      <vt:lpstr>8 - Securitization</vt:lpstr>
      <vt:lpstr>9- Depr Rates</vt:lpstr>
      <vt:lpstr>'1 - ADIT'!Print_Area</vt:lpstr>
      <vt:lpstr>'2 - Other Tax'!Print_Area</vt:lpstr>
      <vt:lpstr>'5 - Cost Support'!Print_Area</vt:lpstr>
      <vt:lpstr>'9- Depr Rates'!Print_Area</vt:lpstr>
      <vt:lpstr>'ATT H-2A'!Print_Area</vt:lpstr>
      <vt:lpstr>'Exh F - AA-BL Items'!Print_Area</vt:lpstr>
      <vt:lpstr>'5 - Cost Support'!Print_Titles</vt:lpstr>
      <vt:lpstr>'7 - Cap Add WS'!Print_Titles</vt:lpstr>
      <vt:lpstr>'ATT H-2A'!Print_Titles</vt:lpstr>
      <vt:lpstr>'Exh E - Cap Add Worksheet'!Print_Titles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2015-04-17T13:37:09Z</dcterms:created>
  <dcterms:modified xsi:type="dcterms:W3CDTF">2017-04-21T17:28:46Z</dcterms:modified>
</cp:coreProperties>
</file>