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FORMULA RATES PJM\APCo Capacity Rate\2023 Updated Filed FERC 2024\No Links\"/>
    </mc:Choice>
  </mc:AlternateContent>
  <xr:revisionPtr revIDLastSave="0" documentId="8_{7945D7A2-2892-4915-BED0-A000660F54F5}" xr6:coauthVersionLast="47" xr6:coauthVersionMax="47" xr10:uidLastSave="{00000000-0000-0000-0000-000000000000}"/>
  <bookViews>
    <workbookView xWindow="-120" yWindow="-120" windowWidth="29040" windowHeight="15840" tabRatio="1000" xr2:uid="{00000000-000D-0000-FFFF-FFFF00000000}"/>
  </bookViews>
  <sheets>
    <sheet name="WP-1" sheetId="50" r:id="rId1"/>
    <sheet name="WP-2" sheetId="19" r:id="rId2"/>
    <sheet name="WP-3" sheetId="18" r:id="rId3"/>
    <sheet name="WP-4" sheetId="60" r:id="rId4"/>
    <sheet name="WP-5a" sheetId="14" r:id="rId5"/>
    <sheet name="WP-5b" sheetId="15" r:id="rId6"/>
    <sheet name="WP-5c" sheetId="43" r:id="rId7"/>
    <sheet name="WP-6a" sheetId="44" r:id="rId8"/>
    <sheet name="WP-6b" sheetId="11" r:id="rId9"/>
    <sheet name="WP-6c" sheetId="12" r:id="rId10"/>
    <sheet name="WP-6d" sheetId="38" r:id="rId11"/>
    <sheet name="WP-7" sheetId="62" r:id="rId12"/>
    <sheet name="WP-8a" sheetId="66" r:id="rId13"/>
    <sheet name="WP-8ai" sheetId="67" r:id="rId14"/>
    <sheet name="WP-8b" sheetId="8" r:id="rId15"/>
    <sheet name="WP-8c" sheetId="49" r:id="rId16"/>
    <sheet name="WP-9a" sheetId="6" r:id="rId17"/>
    <sheet name="WP-9b" sheetId="5" r:id="rId18"/>
    <sheet name="WP-10a" sheetId="25" r:id="rId19"/>
    <sheet name="WP-11" sheetId="22" r:id="rId20"/>
    <sheet name="WP-12a" sheetId="48" r:id="rId21"/>
    <sheet name="WP-12b" sheetId="40" r:id="rId22"/>
    <sheet name="WP-13" sheetId="21" r:id="rId23"/>
    <sheet name="WP-13a" sheetId="57" r:id="rId24"/>
    <sheet name="WP-14" sheetId="3" r:id="rId25"/>
    <sheet name="WP-15a" sheetId="30" r:id="rId26"/>
    <sheet name="WP-15B" sheetId="65" r:id="rId27"/>
    <sheet name="WP-15c" sheetId="28" r:id="rId28"/>
    <sheet name="WP-15d" sheetId="36" r:id="rId29"/>
    <sheet name="WP-16" sheetId="35" r:id="rId30"/>
    <sheet name="WP-17" sheetId="59" r:id="rId31"/>
    <sheet name="WP-18" sheetId="64" r:id="rId32"/>
    <sheet name="WP-19" sheetId="54" r:id="rId33"/>
  </sheets>
  <definedNames>
    <definedName name="Fuel_Summary_2008">#REF!</definedName>
    <definedName name="HEADA" localSheetId="13">#REF!</definedName>
    <definedName name="HEADA">'WP-8a'!$A$1:$B$4</definedName>
    <definedName name="HEADB" localSheetId="13">'WP-8ai'!$A$1:$C$9</definedName>
    <definedName name="HEADB">#REF!</definedName>
    <definedName name="HEADC" localSheetId="13">#REF!</definedName>
    <definedName name="HEADC">#REF!</definedName>
    <definedName name="HEADD" localSheetId="13">#REF!</definedName>
    <definedName name="HEADD">#REF!</definedName>
    <definedName name="PAGEA" localSheetId="13">#REF!</definedName>
    <definedName name="PAGEA">'WP-8a'!#REF!</definedName>
    <definedName name="PAGEB" localSheetId="13">'WP-8ai'!#REF!</definedName>
    <definedName name="PAGEB">#REF!</definedName>
    <definedName name="PAGEC" localSheetId="13">#REF!</definedName>
    <definedName name="PAGEC">#REF!</definedName>
    <definedName name="PAGED" localSheetId="13">#REF!</definedName>
    <definedName name="PAGED">#REF!</definedName>
    <definedName name="_xlnm.Print_Area" localSheetId="0">'WP-1'!$A$1:$H$28</definedName>
    <definedName name="_xlnm.Print_Area" localSheetId="19">'WP-11'!$A$1:$F$63</definedName>
    <definedName name="_xlnm.Print_Area" localSheetId="21">'WP-12b'!$A$1:$K$20</definedName>
    <definedName name="_xlnm.Print_Area" localSheetId="22">'WP-13'!$A$1:$P$57</definedName>
    <definedName name="_xlnm.Print_Area" localSheetId="23">'WP-13a'!$A$1:$H$19</definedName>
    <definedName name="_xlnm.Print_Area" localSheetId="24">'WP-14'!$A$1:$J$74</definedName>
    <definedName name="_xlnm.Print_Area" localSheetId="25">'WP-15a'!$A$1:$F$15</definedName>
    <definedName name="_xlnm.Print_Area" localSheetId="27">'WP-15c'!$A$1:$F$21</definedName>
    <definedName name="_xlnm.Print_Area" localSheetId="28">'WP-15d'!$A$1:$E$25</definedName>
    <definedName name="_xlnm.Print_Area" localSheetId="29">'WP-16'!$A$1:$I$35</definedName>
    <definedName name="_xlnm.Print_Area" localSheetId="30">'WP-17'!$A$1:$L$14</definedName>
    <definedName name="_xlnm.Print_Area" localSheetId="31">'WP-18'!$A$1:$H$31</definedName>
    <definedName name="_xlnm.Print_Area" localSheetId="32">'WP-19'!$A$1:$G$27</definedName>
    <definedName name="_xlnm.Print_Area" localSheetId="1">'WP-2'!$A$1:$I$18</definedName>
    <definedName name="_xlnm.Print_Area" localSheetId="2">'WP-3'!$A$1:$D$10</definedName>
    <definedName name="_xlnm.Print_Area" localSheetId="4">'WP-5a'!$A$1:$N$31</definedName>
    <definedName name="_xlnm.Print_Area" localSheetId="6">'WP-5c'!$A$1:$L$47</definedName>
    <definedName name="_xlnm.Print_Area" localSheetId="7">'WP-6a'!$A$1:$G$45</definedName>
    <definedName name="_xlnm.Print_Area" localSheetId="8">'WP-6b'!$A$1:$H$34</definedName>
    <definedName name="_xlnm.Print_Area" localSheetId="9">'WP-6c'!$A$1:$D$51</definedName>
    <definedName name="_xlnm.Print_Area" localSheetId="10">'WP-6d'!$A$1:$D$27</definedName>
    <definedName name="_xlnm.Print_Area" localSheetId="12">'WP-8a'!$A$1:$J$255</definedName>
    <definedName name="_xlnm.Print_Area" localSheetId="13">'WP-8ai'!$A$1:$J$140</definedName>
    <definedName name="_xlnm.Print_Area" localSheetId="15">'WP-8c'!$A$1:$G$147</definedName>
    <definedName name="_xlnm.Print_Area" localSheetId="17">'WP-9b'!$A$1:$G$58</definedName>
    <definedName name="_xlnm.Print_Titles" localSheetId="22">'WP-13'!$1:$2</definedName>
    <definedName name="_xlnm.Print_Titles" localSheetId="24">'WP-14'!$1:$7</definedName>
    <definedName name="_xlnm.Print_Titles" localSheetId="2">'WP-3'!$1:$2</definedName>
    <definedName name="_xlnm.Print_Titles" localSheetId="7">'WP-6a'!$1:$7</definedName>
    <definedName name="_xlnm.Print_Titles" localSheetId="8">'WP-6b'!$1:$5</definedName>
    <definedName name="_xlnm.Print_Titles" localSheetId="12">'WP-8a'!$A:$B,'WP-8a'!$1:$4</definedName>
    <definedName name="_xlnm.Print_Titles" localSheetId="13">'WP-8ai'!$A:$B,'WP-8ai'!$1:$9</definedName>
    <definedName name="Purchased_Power_2008">#REF!</definedName>
    <definedName name="Sales_for_Resale_2008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38" l="1"/>
  <c r="E11" i="44"/>
  <c r="F46" i="5" l="1"/>
  <c r="C184" i="66" l="1"/>
  <c r="C185" i="66"/>
  <c r="C186" i="66"/>
  <c r="C187" i="66"/>
  <c r="C188" i="66"/>
  <c r="C189" i="66"/>
  <c r="H135" i="67" l="1"/>
  <c r="G135" i="67"/>
  <c r="F135" i="67"/>
  <c r="C115" i="67"/>
  <c r="C33" i="67"/>
  <c r="A25" i="67"/>
  <c r="A26" i="67" s="1"/>
  <c r="A27" i="67" s="1"/>
  <c r="A28" i="67" s="1"/>
  <c r="A29" i="67" s="1"/>
  <c r="A30" i="67" s="1"/>
  <c r="A31" i="67" l="1"/>
  <c r="A32" i="67" s="1"/>
  <c r="A33" i="67" s="1"/>
  <c r="A34" i="67" s="1"/>
  <c r="A35" i="67" s="1"/>
  <c r="A36" i="67" s="1"/>
  <c r="A37" i="67" s="1"/>
  <c r="A38" i="67" s="1"/>
  <c r="A39" i="67" s="1"/>
  <c r="A40" i="67" s="1"/>
  <c r="A41" i="67" s="1"/>
  <c r="A42" i="67" s="1"/>
  <c r="A43" i="67" s="1"/>
  <c r="A44" i="67" s="1"/>
  <c r="A45" i="67" s="1"/>
  <c r="A46" i="67" s="1"/>
  <c r="A47" i="67" s="1"/>
  <c r="A48" i="67" s="1"/>
  <c r="A49" i="67" s="1"/>
  <c r="A50" i="67" s="1"/>
  <c r="A51" i="67" s="1"/>
  <c r="A52" i="67" s="1"/>
  <c r="A53" i="67" s="1"/>
  <c r="A54" i="67" s="1"/>
  <c r="A55" i="67" s="1"/>
  <c r="A56" i="67" s="1"/>
  <c r="A57" i="67" s="1"/>
  <c r="A58" i="67" s="1"/>
  <c r="A59" i="67" s="1"/>
  <c r="A60" i="67" s="1"/>
  <c r="A61" i="67" s="1"/>
  <c r="A62" i="67" s="1"/>
  <c r="A63" i="67" s="1"/>
  <c r="A64" i="67" s="1"/>
  <c r="A65" i="67" s="1"/>
  <c r="A66" i="67" s="1"/>
  <c r="A67" i="67" s="1"/>
  <c r="A68" i="67" s="1"/>
  <c r="A69" i="67" s="1"/>
  <c r="A70" i="67" s="1"/>
  <c r="A71" i="67" s="1"/>
  <c r="A72" i="67" s="1"/>
  <c r="A73" i="67" s="1"/>
  <c r="A74" i="67" s="1"/>
  <c r="A75" i="67" s="1"/>
  <c r="A76" i="67" s="1"/>
  <c r="A77" i="67" s="1"/>
  <c r="A78" i="67" s="1"/>
  <c r="A79" i="67" s="1"/>
  <c r="A80" i="67" s="1"/>
  <c r="A81" i="67" s="1"/>
  <c r="A82" i="67" s="1"/>
  <c r="A83" i="67" s="1"/>
  <c r="A84" i="67" s="1"/>
  <c r="A85" i="67" s="1"/>
  <c r="A86" i="67" s="1"/>
  <c r="A87" i="67" s="1"/>
  <c r="A88" i="67" s="1"/>
  <c r="A89" i="67" s="1"/>
  <c r="A90" i="67" s="1"/>
  <c r="A91" i="67" s="1"/>
  <c r="A92" i="67" s="1"/>
  <c r="A93" i="67" s="1"/>
  <c r="A94" i="67" s="1"/>
  <c r="A95" i="67" s="1"/>
  <c r="A96" i="67" s="1"/>
  <c r="A97" i="67" s="1"/>
  <c r="A98" i="67" s="1"/>
  <c r="A99" i="67" s="1"/>
  <c r="A100" i="67" s="1"/>
  <c r="A101" i="67" s="1"/>
  <c r="A102" i="67" s="1"/>
  <c r="A103" i="67" s="1"/>
  <c r="A104" i="67" s="1"/>
  <c r="A105" i="67" s="1"/>
  <c r="A106" i="67" s="1"/>
  <c r="A107" i="67" s="1"/>
  <c r="A108" i="67" s="1"/>
  <c r="A109" i="67" s="1"/>
  <c r="A110" i="67" s="1"/>
  <c r="A111" i="67" s="1"/>
  <c r="A112" i="67" s="1"/>
  <c r="A113" i="67" s="1"/>
  <c r="A114" i="67" s="1"/>
  <c r="A115" i="67" s="1"/>
  <c r="A116" i="67" s="1"/>
  <c r="A117" i="67" s="1"/>
  <c r="A118" i="67" s="1"/>
  <c r="A119" i="67" s="1"/>
  <c r="A120" i="67" s="1"/>
  <c r="A121" i="67" s="1"/>
  <c r="A122" i="67" s="1"/>
  <c r="A123" i="67" s="1"/>
  <c r="A124" i="67" s="1"/>
  <c r="A125" i="67" s="1"/>
  <c r="A126" i="67" s="1"/>
  <c r="C25" i="67" l="1"/>
  <c r="G237" i="66" l="1"/>
  <c r="H237" i="66"/>
  <c r="F237" i="66"/>
  <c r="C130" i="66"/>
  <c r="C125" i="66"/>
  <c r="C126" i="66"/>
  <c r="C105" i="66"/>
  <c r="C106" i="66"/>
  <c r="C107" i="66"/>
  <c r="C108" i="66"/>
  <c r="C109" i="66"/>
  <c r="C110" i="66"/>
  <c r="C111" i="66"/>
  <c r="C112" i="66"/>
  <c r="C113" i="66"/>
  <c r="C114" i="66"/>
  <c r="C115" i="66"/>
  <c r="C116" i="66"/>
  <c r="C117" i="66"/>
  <c r="C118" i="66"/>
  <c r="C119" i="66"/>
  <c r="C120" i="66"/>
  <c r="C121" i="66"/>
  <c r="C122" i="66"/>
  <c r="C123" i="66"/>
  <c r="C124" i="66"/>
  <c r="C127" i="66"/>
  <c r="C128" i="66"/>
  <c r="C129" i="66"/>
  <c r="C131" i="66"/>
  <c r="C132" i="66"/>
  <c r="C133" i="66"/>
  <c r="C134" i="66"/>
  <c r="C135" i="66"/>
  <c r="C136" i="66"/>
  <c r="C137" i="66"/>
  <c r="C138" i="66"/>
  <c r="C139" i="66"/>
  <c r="C140" i="66"/>
  <c r="C141" i="66"/>
  <c r="C142" i="66"/>
  <c r="C143" i="66"/>
  <c r="C144" i="66"/>
  <c r="C145" i="66"/>
  <c r="C146" i="66"/>
  <c r="C147" i="66"/>
  <c r="C148" i="66"/>
  <c r="C149" i="66"/>
  <c r="C150" i="66"/>
  <c r="C151" i="66"/>
  <c r="C152" i="66"/>
  <c r="C153" i="66"/>
  <c r="C154" i="66"/>
  <c r="C155" i="66"/>
  <c r="C156" i="66"/>
  <c r="C157" i="66"/>
  <c r="C158" i="66"/>
  <c r="C159" i="66"/>
  <c r="C160" i="66"/>
  <c r="C161" i="66"/>
  <c r="C162" i="66"/>
  <c r="C163" i="66"/>
  <c r="C164" i="66"/>
  <c r="C165" i="66"/>
  <c r="C166" i="66"/>
  <c r="C167" i="66"/>
  <c r="C168" i="66"/>
  <c r="C169" i="66"/>
  <c r="C170" i="66"/>
  <c r="C171" i="66"/>
  <c r="C172" i="66"/>
  <c r="C173" i="66"/>
  <c r="C174" i="66"/>
  <c r="C175" i="66"/>
  <c r="C176" i="66"/>
  <c r="C177" i="66"/>
  <c r="C178" i="66"/>
  <c r="C179" i="66"/>
  <c r="C180" i="66"/>
  <c r="C181" i="66"/>
  <c r="C182" i="66"/>
  <c r="C183" i="66"/>
  <c r="C190" i="66"/>
  <c r="C191" i="66"/>
  <c r="C192" i="66"/>
  <c r="C193" i="66"/>
  <c r="C194" i="66"/>
  <c r="C195" i="66"/>
  <c r="C196" i="66"/>
  <c r="C197" i="66"/>
  <c r="C198" i="66"/>
  <c r="C199" i="66"/>
  <c r="C200" i="66"/>
  <c r="C201" i="66"/>
  <c r="C202" i="66"/>
  <c r="C203" i="66"/>
  <c r="C204" i="66"/>
  <c r="C205" i="66"/>
  <c r="C206" i="66"/>
  <c r="C207" i="66"/>
  <c r="C234" i="66" l="1"/>
  <c r="A17" i="15"/>
  <c r="A18" i="14"/>
  <c r="A24" i="14" s="1"/>
  <c r="M11" i="14" l="1"/>
  <c r="M10" i="14"/>
  <c r="M12" i="14"/>
  <c r="E49" i="3" l="1"/>
  <c r="A13" i="36"/>
  <c r="D33" i="25" l="1"/>
  <c r="G134" i="67"/>
  <c r="H134" i="67"/>
  <c r="G133" i="67"/>
  <c r="H133" i="67"/>
  <c r="F133" i="67"/>
  <c r="G132" i="67"/>
  <c r="H132" i="67"/>
  <c r="F132" i="67"/>
  <c r="C114" i="67"/>
  <c r="G239" i="66"/>
  <c r="H239" i="66"/>
  <c r="F239" i="66"/>
  <c r="G238" i="66"/>
  <c r="H238" i="66"/>
  <c r="F238" i="66"/>
  <c r="G236" i="66"/>
  <c r="H236" i="66"/>
  <c r="F236" i="66"/>
  <c r="C209" i="66" l="1"/>
  <c r="C210" i="66"/>
  <c r="C211" i="66"/>
  <c r="C212" i="66"/>
  <c r="C218" i="66"/>
  <c r="C217" i="66"/>
  <c r="C216" i="66"/>
  <c r="C215" i="66"/>
  <c r="C214" i="66"/>
  <c r="C213" i="66"/>
  <c r="D13" i="14" l="1"/>
  <c r="H91" i="66" l="1"/>
  <c r="G91" i="66"/>
  <c r="F91" i="66"/>
  <c r="H90" i="66"/>
  <c r="G90" i="66"/>
  <c r="F90" i="66"/>
  <c r="C14" i="49" l="1"/>
  <c r="C12" i="49"/>
  <c r="C11" i="49"/>
  <c r="F134" i="67"/>
  <c r="H130" i="67"/>
  <c r="G130" i="67"/>
  <c r="F130" i="67"/>
  <c r="C112" i="67"/>
  <c r="C113" i="67"/>
  <c r="H234" i="66"/>
  <c r="G234" i="66"/>
  <c r="F234" i="66"/>
  <c r="D234" i="66"/>
  <c r="C208" i="66"/>
  <c r="H92" i="66"/>
  <c r="G92" i="66"/>
  <c r="F92" i="66"/>
  <c r="H82" i="66"/>
  <c r="G82" i="66"/>
  <c r="F82" i="66"/>
  <c r="C77" i="66"/>
  <c r="C78" i="66"/>
  <c r="C76" i="66"/>
  <c r="C28" i="66"/>
  <c r="C29" i="66"/>
  <c r="C30" i="66"/>
  <c r="C31" i="66"/>
  <c r="C32" i="66"/>
  <c r="C33" i="66"/>
  <c r="C34" i="66"/>
  <c r="C35" i="66"/>
  <c r="C36" i="66"/>
  <c r="C37" i="66"/>
  <c r="C38" i="66"/>
  <c r="C39" i="66"/>
  <c r="C40" i="66"/>
  <c r="C41" i="66"/>
  <c r="C42" i="66"/>
  <c r="C43" i="66"/>
  <c r="C44" i="66"/>
  <c r="C45" i="66"/>
  <c r="C46" i="66"/>
  <c r="C47" i="66"/>
  <c r="C48" i="66"/>
  <c r="C49" i="66"/>
  <c r="C50" i="66"/>
  <c r="C51" i="66"/>
  <c r="C52" i="66"/>
  <c r="C53" i="66"/>
  <c r="C54" i="66"/>
  <c r="C55" i="66"/>
  <c r="C56" i="66"/>
  <c r="C57" i="66"/>
  <c r="C58" i="66"/>
  <c r="C59" i="66"/>
  <c r="C60" i="66"/>
  <c r="C61" i="66"/>
  <c r="C62" i="66"/>
  <c r="C63" i="66"/>
  <c r="C64" i="66"/>
  <c r="C65" i="66"/>
  <c r="C66" i="66"/>
  <c r="C67" i="66"/>
  <c r="C68" i="66"/>
  <c r="C69" i="66"/>
  <c r="C70" i="66"/>
  <c r="C71" i="66"/>
  <c r="C72" i="66"/>
  <c r="C73" i="66"/>
  <c r="C27" i="66"/>
  <c r="C82" i="66" l="1"/>
  <c r="D82" i="66" l="1"/>
  <c r="A82" i="66"/>
  <c r="A28" i="66"/>
  <c r="A29" i="66" s="1"/>
  <c r="A30" i="66" s="1"/>
  <c r="A31" i="66" s="1"/>
  <c r="A32" i="66" s="1"/>
  <c r="A33" i="66" s="1"/>
  <c r="A34" i="66" s="1"/>
  <c r="A35" i="66" s="1"/>
  <c r="A36" i="66" s="1"/>
  <c r="A37" i="66" s="1"/>
  <c r="A38" i="66" s="1"/>
  <c r="A39" i="66" s="1"/>
  <c r="A40" i="66" s="1"/>
  <c r="A41" i="66" s="1"/>
  <c r="A42" i="66" s="1"/>
  <c r="A43" i="66" s="1"/>
  <c r="A44" i="66" s="1"/>
  <c r="A45" i="66" s="1"/>
  <c r="A46" i="66" s="1"/>
  <c r="A47" i="66" s="1"/>
  <c r="A48" i="66" s="1"/>
  <c r="A49" i="66" s="1"/>
  <c r="A50" i="66" s="1"/>
  <c r="A51" i="66" s="1"/>
  <c r="A52" i="66" s="1"/>
  <c r="A53" i="66" s="1"/>
  <c r="A54" i="66" s="1"/>
  <c r="A55" i="66" s="1"/>
  <c r="A56" i="66" s="1"/>
  <c r="A57" i="66" s="1"/>
  <c r="A58" i="66" s="1"/>
  <c r="A59" i="66" s="1"/>
  <c r="A60" i="66" s="1"/>
  <c r="A61" i="66" s="1"/>
  <c r="A62" i="66" s="1"/>
  <c r="A63" i="66" s="1"/>
  <c r="A64" i="66" s="1"/>
  <c r="A65" i="66" s="1"/>
  <c r="A66" i="66" s="1"/>
  <c r="A67" i="66" s="1"/>
  <c r="A68" i="66" s="1"/>
  <c r="A69" i="66" s="1"/>
  <c r="A70" i="66" s="1"/>
  <c r="A71" i="66" s="1"/>
  <c r="A72" i="66" s="1"/>
  <c r="A73" i="66" s="1"/>
  <c r="A74" i="66" l="1"/>
  <c r="A75" i="66" s="1"/>
  <c r="A76" i="66" s="1"/>
  <c r="A77" i="66" s="1"/>
  <c r="A78" i="66" s="1"/>
  <c r="I33" i="35"/>
  <c r="H33" i="35"/>
  <c r="G33" i="35"/>
  <c r="C15" i="49"/>
  <c r="D130" i="67"/>
  <c r="C126" i="67"/>
  <c r="C125" i="67"/>
  <c r="C124" i="67"/>
  <c r="C123" i="67"/>
  <c r="C122" i="67"/>
  <c r="C121" i="67"/>
  <c r="C120" i="67"/>
  <c r="C119" i="67"/>
  <c r="C118" i="67"/>
  <c r="C117" i="67"/>
  <c r="C116" i="67"/>
  <c r="C111" i="67"/>
  <c r="C110" i="67"/>
  <c r="C109" i="67"/>
  <c r="C108" i="67"/>
  <c r="C107" i="67"/>
  <c r="C106" i="67"/>
  <c r="C105" i="67"/>
  <c r="C104" i="67"/>
  <c r="C103" i="67"/>
  <c r="C102" i="67"/>
  <c r="C101" i="67"/>
  <c r="C100" i="67"/>
  <c r="C99" i="67"/>
  <c r="C98" i="67"/>
  <c r="C97" i="67"/>
  <c r="C96" i="67"/>
  <c r="C95" i="67"/>
  <c r="C94" i="67"/>
  <c r="C93" i="67"/>
  <c r="C92" i="67"/>
  <c r="C91" i="67"/>
  <c r="C90" i="67"/>
  <c r="C89" i="67"/>
  <c r="C88" i="67"/>
  <c r="C87" i="67"/>
  <c r="C86" i="67"/>
  <c r="C85" i="67"/>
  <c r="C84" i="67"/>
  <c r="C83" i="67"/>
  <c r="C82" i="67"/>
  <c r="C81" i="67"/>
  <c r="C80" i="67"/>
  <c r="C79" i="67"/>
  <c r="C78" i="67"/>
  <c r="C77" i="67"/>
  <c r="C76" i="67"/>
  <c r="C75" i="67"/>
  <c r="C74" i="67"/>
  <c r="C73" i="67"/>
  <c r="C72" i="67"/>
  <c r="C71" i="67"/>
  <c r="C70" i="67"/>
  <c r="C69" i="67"/>
  <c r="C68" i="67"/>
  <c r="C67" i="67"/>
  <c r="C66" i="67"/>
  <c r="C65" i="67"/>
  <c r="C64" i="67"/>
  <c r="C63" i="67"/>
  <c r="C62" i="67"/>
  <c r="C61" i="67"/>
  <c r="C60" i="67"/>
  <c r="C59" i="67"/>
  <c r="C58" i="67"/>
  <c r="C57" i="67"/>
  <c r="C56" i="67"/>
  <c r="C55" i="67"/>
  <c r="C54" i="67"/>
  <c r="C53" i="67"/>
  <c r="C52" i="67"/>
  <c r="C51" i="67"/>
  <c r="C50" i="67"/>
  <c r="C49" i="67"/>
  <c r="C48" i="67"/>
  <c r="C47" i="67"/>
  <c r="C46" i="67"/>
  <c r="C45" i="67"/>
  <c r="C44" i="67"/>
  <c r="C43" i="67"/>
  <c r="C42" i="67"/>
  <c r="C41" i="67"/>
  <c r="C40" i="67"/>
  <c r="C39" i="67"/>
  <c r="C38" i="67"/>
  <c r="C37" i="67"/>
  <c r="C36" i="67"/>
  <c r="C35" i="67"/>
  <c r="C34" i="67"/>
  <c r="C32" i="67"/>
  <c r="C31" i="67"/>
  <c r="C30" i="67"/>
  <c r="C29" i="67"/>
  <c r="C28" i="67"/>
  <c r="C27" i="67"/>
  <c r="C26" i="67"/>
  <c r="C24" i="67"/>
  <c r="H254" i="66"/>
  <c r="G254" i="66"/>
  <c r="F254" i="66"/>
  <c r="D254" i="66"/>
  <c r="C252" i="66"/>
  <c r="C251" i="66"/>
  <c r="C231" i="66"/>
  <c r="C230" i="66"/>
  <c r="A230" i="66"/>
  <c r="A233" i="66" s="1"/>
  <c r="A234" i="66" s="1"/>
  <c r="H227" i="66"/>
  <c r="H233" i="66" s="1"/>
  <c r="G227" i="66"/>
  <c r="G233" i="66" s="1"/>
  <c r="F227" i="66"/>
  <c r="F233" i="66" s="1"/>
  <c r="D227" i="66"/>
  <c r="D233" i="66" s="1"/>
  <c r="A105" i="66"/>
  <c r="A106" i="66" s="1"/>
  <c r="A107" i="66" s="1"/>
  <c r="A108" i="66" s="1"/>
  <c r="A109" i="66" s="1"/>
  <c r="A110" i="66" s="1"/>
  <c r="A111" i="66" s="1"/>
  <c r="A112" i="66" s="1"/>
  <c r="A113" i="66" s="1"/>
  <c r="A114" i="66" s="1"/>
  <c r="A115" i="66" s="1"/>
  <c r="A116" i="66" s="1"/>
  <c r="A117" i="66" s="1"/>
  <c r="A118" i="66" s="1"/>
  <c r="A119" i="66" s="1"/>
  <c r="A120" i="66" s="1"/>
  <c r="A121" i="66" s="1"/>
  <c r="A122" i="66" s="1"/>
  <c r="A123" i="66" s="1"/>
  <c r="A124" i="66" s="1"/>
  <c r="A125" i="66" s="1"/>
  <c r="C104" i="66"/>
  <c r="A22" i="66"/>
  <c r="H21" i="66"/>
  <c r="G21" i="66"/>
  <c r="F21" i="66"/>
  <c r="D21" i="66"/>
  <c r="C19" i="66"/>
  <c r="C15" i="66"/>
  <c r="A126" i="66" l="1"/>
  <c r="A127" i="66" s="1"/>
  <c r="A128" i="66" s="1"/>
  <c r="C227" i="66"/>
  <c r="C233" i="66" s="1"/>
  <c r="C130" i="67"/>
  <c r="A243" i="66"/>
  <c r="A245" i="66" s="1"/>
  <c r="A247" i="66" s="1"/>
  <c r="A249" i="66" s="1"/>
  <c r="A250" i="66" s="1"/>
  <c r="A251" i="66" s="1"/>
  <c r="A252" i="66" s="1"/>
  <c r="A253" i="66" s="1"/>
  <c r="A254" i="66" s="1"/>
  <c r="F240" i="66"/>
  <c r="I254" i="66"/>
  <c r="I21" i="66"/>
  <c r="I233" i="66"/>
  <c r="A231" i="66"/>
  <c r="C254" i="66"/>
  <c r="C21" i="66"/>
  <c r="A129" i="66" l="1"/>
  <c r="A130" i="66" s="1"/>
  <c r="A131" i="66" s="1"/>
  <c r="A132" i="66" s="1"/>
  <c r="A133" i="66" s="1"/>
  <c r="A134" i="66" s="1"/>
  <c r="A135" i="66" s="1"/>
  <c r="A136" i="66" s="1"/>
  <c r="A137" i="66" s="1"/>
  <c r="A138" i="66" s="1"/>
  <c r="A139" i="66" s="1"/>
  <c r="A140" i="66" s="1"/>
  <c r="A141" i="66" s="1"/>
  <c r="A142" i="66" s="1"/>
  <c r="A143" i="66" s="1"/>
  <c r="A144" i="66" s="1"/>
  <c r="A145" i="66" s="1"/>
  <c r="A146" i="66" s="1"/>
  <c r="A147" i="66" s="1"/>
  <c r="A148" i="66" s="1"/>
  <c r="A149" i="66" s="1"/>
  <c r="A150" i="66" s="1"/>
  <c r="A151" i="66" s="1"/>
  <c r="A152" i="66" s="1"/>
  <c r="A153" i="66" s="1"/>
  <c r="A154" i="66" s="1"/>
  <c r="A155" i="66" s="1"/>
  <c r="A156" i="66" s="1"/>
  <c r="A157" i="66" s="1"/>
  <c r="A158" i="66" s="1"/>
  <c r="A159" i="66" s="1"/>
  <c r="A160" i="66" s="1"/>
  <c r="A161" i="66" s="1"/>
  <c r="A162" i="66" s="1"/>
  <c r="A163" i="66" s="1"/>
  <c r="A164" i="66" s="1"/>
  <c r="A165" i="66" s="1"/>
  <c r="A166" i="66" s="1"/>
  <c r="A167" i="66" s="1"/>
  <c r="A168" i="66" s="1"/>
  <c r="A169" i="66" s="1"/>
  <c r="A170" i="66" s="1"/>
  <c r="A171" i="66" s="1"/>
  <c r="A172" i="66" s="1"/>
  <c r="A173" i="66" s="1"/>
  <c r="A174" i="66" s="1"/>
  <c r="A175" i="66" s="1"/>
  <c r="A176" i="66" s="1"/>
  <c r="A177" i="66" s="1"/>
  <c r="A178" i="66" s="1"/>
  <c r="A179" i="66" s="1"/>
  <c r="A180" i="66" s="1"/>
  <c r="A181" i="66" s="1"/>
  <c r="F15" i="5"/>
  <c r="A182" i="66" l="1"/>
  <c r="A183" i="66" s="1"/>
  <c r="A184" i="66" s="1"/>
  <c r="A185" i="66" s="1"/>
  <c r="A186" i="66" s="1"/>
  <c r="A187" i="66" s="1"/>
  <c r="A188" i="66" s="1"/>
  <c r="A189" i="66" s="1"/>
  <c r="A190" i="66" s="1"/>
  <c r="A191" i="66" s="1"/>
  <c r="A192" i="66" s="1"/>
  <c r="A193" i="66" s="1"/>
  <c r="A194" i="66" s="1"/>
  <c r="A195" i="66" s="1"/>
  <c r="A196" i="66" s="1"/>
  <c r="A197" i="66" s="1"/>
  <c r="A198" i="66" s="1"/>
  <c r="A199" i="66" s="1"/>
  <c r="A200" i="66" s="1"/>
  <c r="A201" i="66" s="1"/>
  <c r="A202" i="66" s="1"/>
  <c r="A203" i="66" s="1"/>
  <c r="A204" i="66" s="1"/>
  <c r="A205" i="66" s="1"/>
  <c r="A206" i="66" s="1"/>
  <c r="A207" i="66" s="1"/>
  <c r="A208" i="66" s="1"/>
  <c r="A209" i="66" s="1"/>
  <c r="A210" i="66" s="1"/>
  <c r="A211" i="66" s="1"/>
  <c r="A212" i="66" s="1"/>
  <c r="A213" i="66" s="1"/>
  <c r="A214" i="66" s="1"/>
  <c r="A215" i="66" s="1"/>
  <c r="A216" i="66" s="1"/>
  <c r="A217" i="66" s="1"/>
  <c r="A218" i="66" s="1"/>
  <c r="E14" i="11"/>
  <c r="E16" i="11" s="1"/>
  <c r="D14" i="11"/>
  <c r="D16" i="11" s="1"/>
  <c r="C14" i="11"/>
  <c r="C16" i="11" s="1"/>
  <c r="B14" i="11"/>
  <c r="B16" i="11" s="1"/>
  <c r="H13" i="11"/>
  <c r="F19" i="11"/>
  <c r="H11" i="11"/>
  <c r="H10" i="11" l="1"/>
  <c r="H12" i="11"/>
  <c r="F14" i="11"/>
  <c r="F16" i="11" s="1"/>
  <c r="F18" i="11" l="1"/>
  <c r="F20" i="11" s="1"/>
  <c r="H14" i="11"/>
  <c r="E40" i="22" l="1"/>
  <c r="F40" i="22" s="1"/>
  <c r="D24" i="43" l="1"/>
  <c r="E56" i="22" l="1"/>
  <c r="E51" i="22"/>
  <c r="E58" i="22" l="1"/>
  <c r="E46" i="3" l="1"/>
  <c r="E42" i="3"/>
  <c r="G42" i="3" l="1"/>
  <c r="A161" i="25" l="1"/>
  <c r="A119" i="25"/>
  <c r="A67" i="25"/>
  <c r="B35" i="44" l="1"/>
  <c r="B29" i="44"/>
  <c r="B23" i="44"/>
  <c r="B17" i="44"/>
  <c r="E53" i="3" l="1"/>
  <c r="E52" i="3"/>
  <c r="E48" i="3"/>
  <c r="E47" i="3"/>
  <c r="E45" i="3"/>
  <c r="E44" i="3"/>
  <c r="E43" i="3"/>
  <c r="E41" i="3"/>
  <c r="E40" i="3"/>
  <c r="E39" i="3"/>
  <c r="E38" i="3"/>
  <c r="E37" i="3"/>
  <c r="E36" i="3"/>
  <c r="E35" i="3"/>
  <c r="E21" i="3"/>
  <c r="E20" i="3"/>
  <c r="E19" i="3"/>
  <c r="E18" i="3"/>
  <c r="E17" i="3"/>
  <c r="E16" i="3"/>
  <c r="E15" i="3"/>
  <c r="E14" i="3"/>
  <c r="E13" i="3"/>
  <c r="E10" i="3"/>
  <c r="E9" i="3"/>
  <c r="C9" i="49" l="1"/>
  <c r="B24" i="43"/>
  <c r="A24" i="43" l="1"/>
  <c r="A17" i="43"/>
  <c r="F36" i="5" l="1"/>
  <c r="K12" i="43" l="1"/>
  <c r="D14" i="54" l="1"/>
  <c r="J11" i="59"/>
  <c r="F31" i="48"/>
  <c r="D130" i="25"/>
  <c r="D11" i="28" l="1"/>
  <c r="F24" i="43"/>
  <c r="E55" i="21"/>
  <c r="C21" i="14"/>
  <c r="K13" i="14"/>
  <c r="J13" i="14"/>
  <c r="I13" i="14"/>
  <c r="H13" i="14"/>
  <c r="G13" i="14"/>
  <c r="F13" i="14"/>
  <c r="E13" i="14"/>
  <c r="C13" i="14"/>
  <c r="D205" i="25"/>
  <c r="D172" i="25" s="1"/>
  <c r="G11" i="44"/>
  <c r="G35" i="44"/>
  <c r="G17" i="44"/>
  <c r="G23" i="44"/>
  <c r="G24" i="44" s="1"/>
  <c r="G29" i="44"/>
  <c r="G30" i="44" s="1"/>
  <c r="C17" i="64"/>
  <c r="G16" i="3"/>
  <c r="G19" i="3"/>
  <c r="F61" i="3"/>
  <c r="G10" i="3"/>
  <c r="G9" i="3"/>
  <c r="G14" i="3"/>
  <c r="G39" i="3"/>
  <c r="F57" i="3"/>
  <c r="E57" i="3"/>
  <c r="E61" i="3"/>
  <c r="F60" i="3"/>
  <c r="E60" i="3"/>
  <c r="E10" i="28"/>
  <c r="G53" i="3"/>
  <c r="G52" i="3"/>
  <c r="G51" i="3"/>
  <c r="G50" i="3"/>
  <c r="G49" i="3"/>
  <c r="G48" i="3"/>
  <c r="G47" i="3"/>
  <c r="G46" i="3"/>
  <c r="G45" i="3"/>
  <c r="G44" i="3"/>
  <c r="G43" i="3"/>
  <c r="G41" i="3"/>
  <c r="G40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8" i="3"/>
  <c r="G17" i="3"/>
  <c r="G15" i="3"/>
  <c r="G13" i="3"/>
  <c r="G12" i="3"/>
  <c r="G11" i="3"/>
  <c r="D6" i="57"/>
  <c r="F44" i="5"/>
  <c r="F43" i="5"/>
  <c r="E146" i="49"/>
  <c r="A26" i="49"/>
  <c r="A32" i="49" s="1"/>
  <c r="A33" i="49" s="1"/>
  <c r="A42" i="49" s="1"/>
  <c r="A52" i="49" s="1"/>
  <c r="A55" i="49" s="1"/>
  <c r="A60" i="49" s="1"/>
  <c r="A61" i="49" s="1"/>
  <c r="A75" i="49" s="1"/>
  <c r="A77" i="49" s="1"/>
  <c r="A88" i="49" s="1"/>
  <c r="A89" i="49" s="1"/>
  <c r="A91" i="49" s="1"/>
  <c r="A92" i="49" s="1"/>
  <c r="A97" i="49" s="1"/>
  <c r="A100" i="49" s="1"/>
  <c r="A111" i="49" s="1"/>
  <c r="A123" i="49" s="1"/>
  <c r="A133" i="49" s="1"/>
  <c r="A140" i="49" s="1"/>
  <c r="A143" i="49" s="1"/>
  <c r="A146" i="49" s="1"/>
  <c r="B17" i="38"/>
  <c r="B21" i="38" s="1"/>
  <c r="G13" i="19"/>
  <c r="F13" i="19"/>
  <c r="D12" i="19"/>
  <c r="D13" i="19" s="1"/>
  <c r="J11" i="40"/>
  <c r="J13" i="40" s="1"/>
  <c r="K13" i="40"/>
  <c r="D199" i="25"/>
  <c r="D171" i="25" s="1"/>
  <c r="F34" i="5"/>
  <c r="C42" i="12"/>
  <c r="C15" i="12"/>
  <c r="F40" i="21"/>
  <c r="F25" i="21"/>
  <c r="B15" i="21"/>
  <c r="F56" i="48"/>
  <c r="K11" i="48" s="1"/>
  <c r="D53" i="25"/>
  <c r="D58" i="25"/>
  <c r="F39" i="5"/>
  <c r="F37" i="5"/>
  <c r="F30" i="5"/>
  <c r="F29" i="5"/>
  <c r="F28" i="5"/>
  <c r="F27" i="5"/>
  <c r="F26" i="5"/>
  <c r="F25" i="5"/>
  <c r="F24" i="5"/>
  <c r="F23" i="5"/>
  <c r="F22" i="5"/>
  <c r="F21" i="5"/>
  <c r="D15" i="50"/>
  <c r="F40" i="48"/>
  <c r="E10" i="36"/>
  <c r="D85" i="25"/>
  <c r="D96" i="25"/>
  <c r="D114" i="25"/>
  <c r="D132" i="25" s="1"/>
  <c r="D141" i="25"/>
  <c r="D148" i="25"/>
  <c r="D155" i="25"/>
  <c r="D185" i="25"/>
  <c r="F51" i="5"/>
  <c r="F50" i="5"/>
  <c r="F48" i="5"/>
  <c r="F47" i="5"/>
  <c r="F45" i="5"/>
  <c r="F42" i="5"/>
  <c r="F41" i="5"/>
  <c r="F40" i="5"/>
  <c r="F38" i="5"/>
  <c r="F35" i="5"/>
  <c r="F33" i="5"/>
  <c r="F32" i="5"/>
  <c r="F31" i="5"/>
  <c r="A12" i="44"/>
  <c r="A17" i="44" s="1"/>
  <c r="A18" i="44" s="1"/>
  <c r="A23" i="44" s="1"/>
  <c r="A24" i="44" s="1"/>
  <c r="A29" i="44" s="1"/>
  <c r="A30" i="44" s="1"/>
  <c r="A35" i="44" s="1"/>
  <c r="A36" i="44" s="1"/>
  <c r="A38" i="44" s="1"/>
  <c r="I11" i="15"/>
  <c r="M13" i="15" s="1"/>
  <c r="C12" i="21"/>
  <c r="I12" i="21"/>
  <c r="K12" i="21"/>
  <c r="M12" i="21"/>
  <c r="H13" i="40"/>
  <c r="O10" i="21"/>
  <c r="O12" i="21" s="1"/>
  <c r="E19" i="54"/>
  <c r="D19" i="54"/>
  <c r="C19" i="54"/>
  <c r="E11" i="48"/>
  <c r="F46" i="48"/>
  <c r="I11" i="48" s="1"/>
  <c r="D13" i="40"/>
  <c r="B13" i="40"/>
  <c r="G12" i="21"/>
  <c r="E12" i="21"/>
  <c r="F13" i="40"/>
  <c r="B17" i="21"/>
  <c r="B11" i="28"/>
  <c r="C11" i="28"/>
  <c r="F10" i="5"/>
  <c r="F11" i="5"/>
  <c r="F12" i="5"/>
  <c r="F13" i="5"/>
  <c r="F14" i="5"/>
  <c r="F16" i="5"/>
  <c r="F17" i="5"/>
  <c r="F18" i="5"/>
  <c r="F19" i="5"/>
  <c r="F20" i="5"/>
  <c r="E10" i="6"/>
  <c r="E11" i="6"/>
  <c r="E16" i="6"/>
  <c r="E15" i="6"/>
  <c r="E21" i="6"/>
  <c r="E20" i="6"/>
  <c r="E24" i="6"/>
  <c r="E26" i="6"/>
  <c r="E28" i="6"/>
  <c r="E34" i="6"/>
  <c r="E33" i="6"/>
  <c r="D12" i="6"/>
  <c r="D17" i="6"/>
  <c r="D22" i="6"/>
  <c r="D35" i="6"/>
  <c r="C12" i="6"/>
  <c r="C17" i="6"/>
  <c r="C22" i="6"/>
  <c r="C35" i="6"/>
  <c r="E11" i="28" l="1"/>
  <c r="F62" i="3"/>
  <c r="K16" i="40"/>
  <c r="D173" i="25"/>
  <c r="F52" i="5"/>
  <c r="G36" i="44"/>
  <c r="G18" i="44"/>
  <c r="G12" i="44"/>
  <c r="F59" i="48"/>
  <c r="C11" i="48" s="1"/>
  <c r="C44" i="12"/>
  <c r="C46" i="12" s="1"/>
  <c r="D98" i="25"/>
  <c r="D60" i="25"/>
  <c r="M13" i="14"/>
  <c r="C24" i="14" s="1"/>
  <c r="E35" i="6"/>
  <c r="D30" i="6"/>
  <c r="D37" i="6" s="1"/>
  <c r="E12" i="6"/>
  <c r="G61" i="3"/>
  <c r="E62" i="3"/>
  <c r="G57" i="3"/>
  <c r="G60" i="3"/>
  <c r="F36" i="21"/>
  <c r="F39" i="21"/>
  <c r="E22" i="6"/>
  <c r="C30" i="6"/>
  <c r="C37" i="6" s="1"/>
  <c r="E17" i="6"/>
  <c r="C17" i="49"/>
  <c r="F61" i="48"/>
  <c r="F41" i="21" l="1"/>
  <c r="D181" i="25"/>
  <c r="D187" i="25" s="1"/>
  <c r="D189" i="25" s="1"/>
  <c r="D194" i="25" s="1"/>
  <c r="M11" i="48"/>
  <c r="G38" i="44"/>
  <c r="C26" i="14"/>
  <c r="C25" i="14"/>
  <c r="F54" i="5"/>
  <c r="E30" i="6"/>
  <c r="G62" i="3"/>
  <c r="E37" i="6" l="1"/>
  <c r="G65" i="3"/>
  <c r="C27" i="14"/>
  <c r="G64" i="3"/>
  <c r="G66" i="3" l="1"/>
  <c r="D49" i="5"/>
  <c r="D52" i="5" s="1"/>
  <c r="D54" i="5" s="1"/>
  <c r="E49" i="5" l="1"/>
  <c r="E52" i="5" s="1"/>
  <c r="E54" i="5" s="1"/>
  <c r="G93" i="66" l="1"/>
  <c r="F93" i="66" l="1"/>
  <c r="G81" i="66"/>
  <c r="F81" i="66"/>
  <c r="H93" i="66"/>
  <c r="H81" i="66" l="1"/>
  <c r="F94" i="66" s="1"/>
  <c r="C74" i="66"/>
  <c r="I81" i="66" l="1"/>
  <c r="G129" i="67"/>
  <c r="D75" i="66"/>
  <c r="H129" i="67" l="1"/>
  <c r="F136" i="67" s="1"/>
  <c r="F129" i="67"/>
  <c r="C75" i="66"/>
  <c r="C81" i="66" s="1"/>
  <c r="D81" i="66"/>
  <c r="I129" i="67" l="1"/>
  <c r="C129" i="67" l="1"/>
  <c r="D129" i="67"/>
  <c r="D18" i="57" l="1"/>
  <c r="F18" i="57" l="1"/>
  <c r="C18" i="57" l="1"/>
  <c r="E18" i="57" l="1"/>
  <c r="F44" i="21" s="1"/>
  <c r="D55" i="8" l="1"/>
  <c r="D43" i="8" l="1"/>
  <c r="D39" i="8"/>
  <c r="D51" i="8"/>
  <c r="D35" i="8"/>
  <c r="D31" i="8"/>
  <c r="D47" i="8"/>
  <c r="D58" i="8" l="1"/>
  <c r="C21" i="8" s="1"/>
  <c r="D10" i="8" s="1"/>
  <c r="D16" i="8" s="1"/>
  <c r="D12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S263421</author>
  </authors>
  <commentList>
    <comment ref="C12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AEP:</t>
        </r>
        <r>
          <rPr>
            <sz val="9"/>
            <color indexed="81"/>
            <rFont val="Tahoma"/>
            <family val="2"/>
          </rPr>
          <t xml:space="preserve">
General and Intangible Plant</t>
        </r>
      </text>
    </comment>
  </commentList>
</comments>
</file>

<file path=xl/sharedStrings.xml><?xml version="1.0" encoding="utf-8"?>
<sst xmlns="http://schemas.openxmlformats.org/spreadsheetml/2006/main" count="2195" uniqueCount="1266">
  <si>
    <t>SPECIFIED DEFERRED CREDITS</t>
  </si>
  <si>
    <t>BOOK VS. TAX DEPRECIATION</t>
  </si>
  <si>
    <t>FERC ORDER 144 CATCH UP</t>
  </si>
  <si>
    <t>MNTR CARBON CAPTURE - SFAS 143 - ARO</t>
  </si>
  <si>
    <t>DFIT GENERATION PLANT</t>
  </si>
  <si>
    <t>ABFUDC - TRANSMISSION</t>
  </si>
  <si>
    <t>ABFUDC - GENERAL</t>
  </si>
  <si>
    <t>ABFUDC - DISTRIBUTION</t>
  </si>
  <si>
    <t>EXTRAORDINARY LOSS ON DISP OF PROP</t>
  </si>
  <si>
    <t>DEFD TAX GAIN - FIBER OPTIC LINE</t>
  </si>
  <si>
    <t>AMORT PERPETUAL TERM ELECT PLT</t>
  </si>
  <si>
    <t>REMOVAL COSTS</t>
  </si>
  <si>
    <t>REMOVAL COSTS - ARO-MTNR CARBON CAPTURE</t>
  </si>
  <si>
    <t>REMOVAL COSTS REV - SFAS 143 - ARO</t>
  </si>
  <si>
    <t>TAX WRITE OFF MINE DEVEL COSTS</t>
  </si>
  <si>
    <t>BK DEPLETION -- NUEAST</t>
  </si>
  <si>
    <t>2007 IRS AUDIT ADJUSTMENTS - A/C 282</t>
  </si>
  <si>
    <t>SW - UNDER RECOVERY FUEL COST</t>
  </si>
  <si>
    <t>SV - UNDER RECOVERY FUEL COST</t>
  </si>
  <si>
    <t>PROPERTY TAX - NEW METHOD - BOOK</t>
  </si>
  <si>
    <t>ACCRUED BK PENSION COSTS - SFAS 158</t>
  </si>
  <si>
    <t>DEFD SYS RELIABILITY COSTS &amp; CARRYING CHARGES</t>
  </si>
  <si>
    <t>DEFD EQUITY CARRY CHRGS-RELIABILITY CAPITAL</t>
  </si>
  <si>
    <t>DEFD STORM DAMAGE</t>
  </si>
  <si>
    <t>BK DEFL - MACSS COSTS</t>
  </si>
  <si>
    <t>TRANSITION REGULATORY ASSETS</t>
  </si>
  <si>
    <t>TAX DEFL - NON-DEPRECIABLES</t>
  </si>
  <si>
    <t>REG ASSET-TRANS AGREEMENT PHASE-IN-WV</t>
  </si>
  <si>
    <t>REG ASSET-DEFD VA WIND REPLACEMENT CSTS</t>
  </si>
  <si>
    <t>STATE NOL CURRENT BENEFIT</t>
  </si>
  <si>
    <t>ADIT FED - HEDGE-INTEREST RATE 2830015</t>
  </si>
  <si>
    <t>ADIT FED - HEDGE-FOREIGN EXC 2830016</t>
  </si>
  <si>
    <t>SEC ALLOC - ITC - 46F1 - 10%</t>
  </si>
  <si>
    <t xml:space="preserve">HYDRO CREDIT - ITC - 46F1 </t>
  </si>
  <si>
    <t>DEFD BOOK GAIN - EPA AUCTION</t>
  </si>
  <si>
    <t>Tennessee Income Tax</t>
  </si>
  <si>
    <t>Virginia Net Income Tax</t>
  </si>
  <si>
    <t>West Virginia Net Income</t>
  </si>
  <si>
    <r>
      <t xml:space="preserve"> </t>
    </r>
    <r>
      <rPr>
        <i/>
        <sz val="10"/>
        <rFont val="Arial"/>
        <family val="2"/>
      </rPr>
      <t>References to data from FERC Form 1 page(s) 206,207, Ln. 50</t>
    </r>
  </si>
  <si>
    <t>Workpaper 8b - Effective Income Tax Rate</t>
  </si>
  <si>
    <t>Workpaper 8c - Taxes Other Than Income Taxes</t>
  </si>
  <si>
    <t>Workpaper 9a - Wages and Salaries</t>
  </si>
  <si>
    <t>Workpaper 9b - Production Payroll Demand/Energy Allocation</t>
  </si>
  <si>
    <t>Workpaper 10a - O &amp; M Expense Summary by Account</t>
  </si>
  <si>
    <t>Workpaper 11 - Regulatory Commission Expense</t>
  </si>
  <si>
    <t>Workpaper 12a - Common Stock</t>
  </si>
  <si>
    <t>Workpaper 13a - Recoverable Hedge Gains/Losses</t>
  </si>
  <si>
    <t>Workpaper 12b -  Preferred Stock</t>
  </si>
  <si>
    <t>Workpaper 13 - Outstanding Long-Term Debt</t>
  </si>
  <si>
    <t xml:space="preserve">Workpaper 14 - Non-Fuel Power Production O&amp;M Expenses </t>
  </si>
  <si>
    <t>Capactiy Cost of Service Formula Rate</t>
  </si>
  <si>
    <t>Workpaper 15c - Purchased Power</t>
  </si>
  <si>
    <t>Workpaper 15d - Off-System Sales</t>
  </si>
  <si>
    <t>Workpaper 18 - Fuel Expense</t>
  </si>
  <si>
    <r>
      <t>Related</t>
    </r>
    <r>
      <rPr>
        <vertAlign val="superscript"/>
        <sz val="10"/>
        <rFont val="Arial"/>
        <family val="2"/>
      </rPr>
      <t>2</t>
    </r>
  </si>
  <si>
    <r>
      <t xml:space="preserve">2 </t>
    </r>
    <r>
      <rPr>
        <sz val="10"/>
        <rFont val="Arial"/>
        <family val="2"/>
      </rPr>
      <t>Data comparable to that reported in the FERC Form 1 is from the Company's Books and Records.</t>
    </r>
  </si>
  <si>
    <r>
      <t>2</t>
    </r>
    <r>
      <rPr>
        <sz val="10"/>
        <rFont val="Arial"/>
        <family val="2"/>
      </rPr>
      <t xml:space="preserve"> CBR indicates that data comparable to that reported in the FERC Form 1 is from the Company's Books and Records.</t>
    </r>
  </si>
  <si>
    <t>Intangible Plant (FF1, 205.2-5 g)</t>
  </si>
  <si>
    <t>General Plant (FF1 207.86-97 g)</t>
  </si>
  <si>
    <t xml:space="preserve">Workpaper 7 </t>
  </si>
  <si>
    <t xml:space="preserve">Workpaper 15b </t>
  </si>
  <si>
    <r>
      <t xml:space="preserve">2 </t>
    </r>
    <r>
      <rPr>
        <sz val="10"/>
        <rFont val="Arial"/>
        <family val="2"/>
      </rPr>
      <t>CBR indicates that data comparable to that reported in the FERC Form 1 is from the Company's Books and Records.</t>
    </r>
  </si>
  <si>
    <t>Organization</t>
  </si>
  <si>
    <t>Franchises and Consents</t>
  </si>
  <si>
    <t>Miscellaneous Intangible Plant</t>
  </si>
  <si>
    <t>TOTAL INTANGIBLE PLANT</t>
  </si>
  <si>
    <t>Gain Rsle/Cancl Req Cap Stock</t>
  </si>
  <si>
    <t>Appropriations of Retained Earnings</t>
  </si>
  <si>
    <t>Dividends Declared</t>
  </si>
  <si>
    <t>Transferred from Income</t>
  </si>
  <si>
    <t>OCI-for Commodity Hedges</t>
  </si>
  <si>
    <t>MTM BK GAIN - A/L - TAX DEFL</t>
  </si>
  <si>
    <t>REG ASSET - ACCRUED SFAS 112</t>
  </si>
  <si>
    <t>SFAS 109 FLOW-THRU 283.3</t>
  </si>
  <si>
    <t>SFAS 109 EXCESS DFIT 283.4</t>
  </si>
  <si>
    <t>SFAS 109 - DEFD STATE INCOME TAXES</t>
  </si>
  <si>
    <t>TOTAL ACCOUNT 283</t>
  </si>
  <si>
    <t>JURISDICTIONAL AMOUNTS FUNCTIONALIZED</t>
  </si>
  <si>
    <t>TOTAL COMPANY AMOUNTS FUNCTIONALIZED</t>
  </si>
  <si>
    <t>REFUNCTIONALIZED BASED ON JURISDICTIONAL PLANT</t>
  </si>
  <si>
    <t>NOTE:  POST 1970 ACCUMULATED DEFERRED</t>
  </si>
  <si>
    <t xml:space="preserve">             INV TAX CRED. (JDITC) IN A/C 255</t>
  </si>
  <si>
    <t>TOTAL ACCOUNT 255</t>
  </si>
  <si>
    <t>Apportionment Factor - Note 2</t>
  </si>
  <si>
    <t>Illinois Corporation Income Tax</t>
  </si>
  <si>
    <t>Michigan Business Income Tax</t>
  </si>
  <si>
    <t>Revenue Taxes</t>
  </si>
  <si>
    <t>Real Estate and Personal Property Taxes</t>
  </si>
  <si>
    <t xml:space="preserve">Payroll Taxes </t>
  </si>
  <si>
    <t>Production Taxes</t>
  </si>
  <si>
    <t xml:space="preserve">Miscellaneous Taxes </t>
  </si>
  <si>
    <t xml:space="preserve">Total </t>
  </si>
  <si>
    <t>Total</t>
  </si>
  <si>
    <t>Retail</t>
  </si>
  <si>
    <t>Production</t>
  </si>
  <si>
    <t>Demand</t>
  </si>
  <si>
    <t>Energy</t>
  </si>
  <si>
    <t>Month</t>
  </si>
  <si>
    <t>Other</t>
  </si>
  <si>
    <t>Transmission</t>
  </si>
  <si>
    <t>Distribution</t>
  </si>
  <si>
    <t>Fuel</t>
  </si>
  <si>
    <t xml:space="preserve"> </t>
  </si>
  <si>
    <t>Description</t>
  </si>
  <si>
    <t xml:space="preserve">    Total</t>
  </si>
  <si>
    <t>Prepayments</t>
  </si>
  <si>
    <t>Account</t>
  </si>
  <si>
    <t>Intangible</t>
  </si>
  <si>
    <t>Land</t>
  </si>
  <si>
    <t>Structures</t>
  </si>
  <si>
    <t>Office Equipment</t>
  </si>
  <si>
    <t>Transportation</t>
  </si>
  <si>
    <t>Stores Equipment</t>
  </si>
  <si>
    <t>Tools, Shop, Garage, Etc.</t>
  </si>
  <si>
    <t>Laboratory Equipment</t>
  </si>
  <si>
    <t>Power Operated Equipment</t>
  </si>
  <si>
    <t>Communications Equipment</t>
  </si>
  <si>
    <t>Miscellaneous Equipment</t>
  </si>
  <si>
    <t>Line</t>
  </si>
  <si>
    <t>December</t>
  </si>
  <si>
    <t>General</t>
  </si>
  <si>
    <t>fpa</t>
  </si>
  <si>
    <t>beginning_balance</t>
  </si>
  <si>
    <t>ending_balance</t>
  </si>
  <si>
    <t>start_month</t>
  </si>
  <si>
    <t>Effective Income Tax Rate</t>
  </si>
  <si>
    <t>Customer Accounts</t>
  </si>
  <si>
    <t>Sales</t>
  </si>
  <si>
    <t>Administrative and General</t>
  </si>
  <si>
    <t>Allocation Factors</t>
  </si>
  <si>
    <t>Total Production</t>
  </si>
  <si>
    <t>Difference</t>
  </si>
  <si>
    <t>Operation Supv &amp; Engineering</t>
  </si>
  <si>
    <t>Steam Expenses</t>
  </si>
  <si>
    <t>Electric Expenses</t>
  </si>
  <si>
    <t>Misc. Steam Power Expense</t>
  </si>
  <si>
    <t>Rents</t>
  </si>
  <si>
    <t>Allowances</t>
  </si>
  <si>
    <t>Generation Expenses</t>
  </si>
  <si>
    <t>Misc. Power Generation Expense</t>
  </si>
  <si>
    <t>Total Operation</t>
  </si>
  <si>
    <t>Maintenance Supv &amp; Engineering</t>
  </si>
  <si>
    <t>Maintenance of Structures</t>
  </si>
  <si>
    <t>Maintenance of Boiler Plant</t>
  </si>
  <si>
    <t>Maintenance of Electric Plant</t>
  </si>
  <si>
    <t>Maintenance of Misc Plant</t>
  </si>
  <si>
    <t>Total Maintenance</t>
  </si>
  <si>
    <t>System Control</t>
  </si>
  <si>
    <t>Total Other</t>
  </si>
  <si>
    <t>Load Dispatching</t>
  </si>
  <si>
    <t>Station Expense</t>
  </si>
  <si>
    <t>Overhead Line Expense</t>
  </si>
  <si>
    <t>Underground Line Expense</t>
  </si>
  <si>
    <t>Trans of Electricity by Others</t>
  </si>
  <si>
    <t>Misc Transmission Expense</t>
  </si>
  <si>
    <t>Maintenance of Station Equip</t>
  </si>
  <si>
    <t>Maintenance of OH Lines</t>
  </si>
  <si>
    <t xml:space="preserve">Maintenance of Misc Trans </t>
  </si>
  <si>
    <t>Total Transmission</t>
  </si>
  <si>
    <t>Street Lighting</t>
  </si>
  <si>
    <t>Meter Expenses</t>
  </si>
  <si>
    <t>Customer Installations</t>
  </si>
  <si>
    <t>Misc Distribution Expense</t>
  </si>
  <si>
    <t>Maintenance of UG Lines</t>
  </si>
  <si>
    <t>Maintenance of Line Trsfrs</t>
  </si>
  <si>
    <t>Maintenance of Street Lights</t>
  </si>
  <si>
    <t>Maintenance of Meters</t>
  </si>
  <si>
    <t>Maintenance of Misc Dist Plant</t>
  </si>
  <si>
    <t>Total Distribution</t>
  </si>
  <si>
    <t>Supervision</t>
  </si>
  <si>
    <t>Meter Reading Expenses</t>
  </si>
  <si>
    <t>Customer Records/Collection</t>
  </si>
  <si>
    <t>Uncollectible Accounts</t>
  </si>
  <si>
    <t>Misc Customer Accts Exp</t>
  </si>
  <si>
    <t>Total Customer Accounts</t>
  </si>
  <si>
    <t>Customer Assistance</t>
  </si>
  <si>
    <t>Info &amp; Instructional Adv</t>
  </si>
  <si>
    <t>Selling Expenses</t>
  </si>
  <si>
    <t>Advertising Expenses</t>
  </si>
  <si>
    <t>A &amp; G Salaries</t>
  </si>
  <si>
    <t>Office Supplies &amp; Exp</t>
  </si>
  <si>
    <t>Outside Services</t>
  </si>
  <si>
    <t>Property Insurance</t>
  </si>
  <si>
    <t>Injuries and Damages</t>
  </si>
  <si>
    <t>Regulatory Commission Exp</t>
  </si>
  <si>
    <t>General Advertising Expense</t>
  </si>
  <si>
    <t>Maintenance of Gen Plant</t>
  </si>
  <si>
    <t>Sales Expense</t>
  </si>
  <si>
    <t>Interest &amp; Amortization on Long-Term Debt</t>
  </si>
  <si>
    <t>Common</t>
  </si>
  <si>
    <t>Preferred</t>
  </si>
  <si>
    <t>Dividends</t>
  </si>
  <si>
    <t xml:space="preserve">Account </t>
  </si>
  <si>
    <t>504 - Cr.</t>
  </si>
  <si>
    <t>522 - Cr.</t>
  </si>
  <si>
    <t xml:space="preserve">Energy </t>
  </si>
  <si>
    <t>Sub-Total</t>
  </si>
  <si>
    <t>Purchased Power</t>
  </si>
  <si>
    <t>%</t>
  </si>
  <si>
    <t>TOTAL GENERAL PLANT</t>
  </si>
  <si>
    <t>Production:</t>
  </si>
  <si>
    <t xml:space="preserve">  Operation </t>
  </si>
  <si>
    <t xml:space="preserve">  Maintenance</t>
  </si>
  <si>
    <t>Transmission:</t>
  </si>
  <si>
    <t xml:space="preserve">  Operation</t>
  </si>
  <si>
    <t>Distribution:</t>
  </si>
  <si>
    <t>Customer Service and Informational</t>
  </si>
  <si>
    <t>Total Wages and Salaries Excluding A &amp; G</t>
  </si>
  <si>
    <t xml:space="preserve">Total O &amp; M Payroll </t>
  </si>
  <si>
    <t>548</t>
  </si>
  <si>
    <t>549</t>
  </si>
  <si>
    <t>Maintenance of Generating &amp; Electric Plant</t>
  </si>
  <si>
    <t>Maintenance of Misc. Other Power Gen. Plant</t>
  </si>
  <si>
    <t>Other Expense</t>
  </si>
  <si>
    <t>564</t>
  </si>
  <si>
    <t>572</t>
  </si>
  <si>
    <t>Misc Cust Service &amp; Info Expense</t>
  </si>
  <si>
    <t>Total Customer Service</t>
  </si>
  <si>
    <t>Misc Sales Expense</t>
  </si>
  <si>
    <t>Total Sales Expense</t>
  </si>
  <si>
    <r>
      <t xml:space="preserve">Adm Exp Trsfr - </t>
    </r>
    <r>
      <rPr>
        <sz val="10"/>
        <color indexed="61"/>
        <rFont val="Arial"/>
        <family val="2"/>
      </rPr>
      <t>Credit</t>
    </r>
  </si>
  <si>
    <t>Franchise Requirements</t>
  </si>
  <si>
    <r>
      <t xml:space="preserve">Duplicate Charges - </t>
    </r>
    <r>
      <rPr>
        <sz val="10"/>
        <color indexed="61"/>
        <rFont val="Arial"/>
        <family val="2"/>
      </rPr>
      <t>Credit</t>
    </r>
  </si>
  <si>
    <t>Misc General Expense</t>
  </si>
  <si>
    <t>Company Dues and Memberships</t>
  </si>
  <si>
    <t>Total Administrative &amp; General</t>
  </si>
  <si>
    <t>Total O &amp; M Expenses</t>
  </si>
  <si>
    <t>Balance</t>
  </si>
  <si>
    <t>Advances from Associated Co</t>
  </si>
  <si>
    <t>Acct</t>
  </si>
  <si>
    <t>Installment Purchase Contracts</t>
  </si>
  <si>
    <t>Senior Unsecured Notes</t>
  </si>
  <si>
    <t>Debntr Trust Pref Secrty Insts</t>
  </si>
  <si>
    <t>Total Debt Outstanding</t>
  </si>
  <si>
    <t>2230000</t>
  </si>
  <si>
    <t>2240002</t>
  </si>
  <si>
    <t>2240006</t>
  </si>
  <si>
    <t>2240046</t>
  </si>
  <si>
    <t>Interest</t>
  </si>
  <si>
    <t>IPC</t>
  </si>
  <si>
    <t>4270002</t>
  </si>
  <si>
    <t>Unsecured</t>
  </si>
  <si>
    <t>4270006</t>
  </si>
  <si>
    <t>Amort Debt Disc/ Exp</t>
  </si>
  <si>
    <t>Amort Loss Reacq</t>
  </si>
  <si>
    <t>Assoc LT</t>
  </si>
  <si>
    <t>Amort Debt Premium</t>
  </si>
  <si>
    <t>Amort Gain Reacq</t>
  </si>
  <si>
    <t>Cost of Long Term Debt</t>
  </si>
  <si>
    <t>Amortized Investment Tax Credit (enter negative)</t>
  </si>
  <si>
    <t>FIT</t>
  </si>
  <si>
    <t>SIT</t>
  </si>
  <si>
    <t>Effective State Income Tax Rate</t>
  </si>
  <si>
    <t>Total Effective State Income Tax Rate</t>
  </si>
  <si>
    <t>Acct 428 (FF1, P.117, L.63)</t>
  </si>
  <si>
    <t>Acct 428.1 (FF1, P.117, L.64)</t>
  </si>
  <si>
    <t>(FF1, P.117,L.62)</t>
  </si>
  <si>
    <t>4300001 (FF1, P.117, L.67)</t>
  </si>
  <si>
    <t>Acct 429 (FF1, P.117, L.65)</t>
  </si>
  <si>
    <t>Acct 429.1 (FF1, P.117, L.66)</t>
  </si>
  <si>
    <t>Fuel Stock</t>
  </si>
  <si>
    <t>Period</t>
  </si>
  <si>
    <t>Coal</t>
  </si>
  <si>
    <t>Oil</t>
  </si>
  <si>
    <t>Gas</t>
  </si>
  <si>
    <t>Coal Trans</t>
  </si>
  <si>
    <r>
      <t>Source</t>
    </r>
    <r>
      <rPr>
        <u/>
        <vertAlign val="superscript"/>
        <sz val="10"/>
        <rFont val="Arial"/>
        <family val="2"/>
      </rPr>
      <t xml:space="preserve"> 1</t>
    </r>
  </si>
  <si>
    <t>CBR</t>
  </si>
  <si>
    <t>Notes:</t>
  </si>
  <si>
    <r>
      <t xml:space="preserve">1 </t>
    </r>
    <r>
      <rPr>
        <sz val="10"/>
        <rFont val="Arial"/>
        <family val="2"/>
      </rPr>
      <t>CBR indicates that data comparable to that reported in the FERC Form 1 is from the Company's Books and Records.</t>
    </r>
  </si>
  <si>
    <t>1540001</t>
  </si>
  <si>
    <t>1540004</t>
  </si>
  <si>
    <t>M&amp;S</t>
  </si>
  <si>
    <t>Regular</t>
  </si>
  <si>
    <t>Exempt Material</t>
  </si>
  <si>
    <t>110.48.c</t>
  </si>
  <si>
    <t>1650001</t>
  </si>
  <si>
    <t>1650006</t>
  </si>
  <si>
    <t>1650009</t>
  </si>
  <si>
    <t>Insurance</t>
  </si>
  <si>
    <t>Carrying Cost</t>
  </si>
  <si>
    <t>111.57.c</t>
  </si>
  <si>
    <t>ARO</t>
  </si>
  <si>
    <t>Amount</t>
  </si>
  <si>
    <t>Source 1</t>
  </si>
  <si>
    <t>Excluding ARO</t>
  </si>
  <si>
    <r>
      <t>Source</t>
    </r>
    <r>
      <rPr>
        <vertAlign val="superscript"/>
        <sz val="10"/>
        <rFont val="Arial"/>
        <family val="2"/>
      </rPr>
      <t xml:space="preserve"> 1</t>
    </r>
  </si>
  <si>
    <t>112.3.c</t>
  </si>
  <si>
    <t>Acct 204</t>
  </si>
  <si>
    <t>Preferred Stock</t>
  </si>
  <si>
    <t>Premium on Preferred</t>
  </si>
  <si>
    <t>Acct 207</t>
  </si>
  <si>
    <t>112.6.c</t>
  </si>
  <si>
    <t>Payroll</t>
  </si>
  <si>
    <t xml:space="preserve">    EIT=(T/(1-T)) * (1-(WCLTD/WACC)) =</t>
  </si>
  <si>
    <t xml:space="preserve">      GRCF=1 / (1 - T)</t>
  </si>
  <si>
    <t>FF1 P.114, Ln.19, Col.c</t>
  </si>
  <si>
    <t>WCLTD</t>
  </si>
  <si>
    <t>WACC</t>
  </si>
  <si>
    <t>Unapprop</t>
  </si>
  <si>
    <t>Acc Oth</t>
  </si>
  <si>
    <t>Equity</t>
  </si>
  <si>
    <t>Capital</t>
  </si>
  <si>
    <t>Sub Earnings</t>
  </si>
  <si>
    <t>Comp Income</t>
  </si>
  <si>
    <t>2010001</t>
  </si>
  <si>
    <t>Common Stock Issued</t>
  </si>
  <si>
    <r>
      <t>Source</t>
    </r>
    <r>
      <rPr>
        <i/>
        <vertAlign val="superscript"/>
        <sz val="9"/>
        <rFont val="Arial"/>
        <family val="2"/>
      </rPr>
      <t xml:space="preserve"> 1</t>
    </r>
  </si>
  <si>
    <t>112.2.c</t>
  </si>
  <si>
    <t>2040002</t>
  </si>
  <si>
    <t>PS Not Subj to Mandatory Redem</t>
  </si>
  <si>
    <t>2080000</t>
  </si>
  <si>
    <t>Donations Recvd from Stckhldrs</t>
  </si>
  <si>
    <t>Miscellaneous Paid-In Capital</t>
  </si>
  <si>
    <t>112.7.c</t>
  </si>
  <si>
    <t>2160001</t>
  </si>
  <si>
    <t>Unapprp Retnd Erngs-Unrstrictd</t>
  </si>
  <si>
    <t>4370000</t>
  </si>
  <si>
    <t>Div Decl-PS Not Sub to Man Red</t>
  </si>
  <si>
    <t>4390000</t>
  </si>
  <si>
    <t>Adj to Retained Earnings</t>
  </si>
  <si>
    <t>Retained Earnings</t>
  </si>
  <si>
    <t>112.11.c</t>
  </si>
  <si>
    <t>2161001</t>
  </si>
  <si>
    <t>Unap Undist Consol Sub Erng</t>
  </si>
  <si>
    <t>2161002</t>
  </si>
  <si>
    <t>Unap Undist Nonconsol Sub Erng</t>
  </si>
  <si>
    <t>Equity in Earnings</t>
  </si>
  <si>
    <t>Unapprop Sub Earnings</t>
  </si>
  <si>
    <t>112.12.c</t>
  </si>
  <si>
    <t>2190004</t>
  </si>
  <si>
    <t>OCI-Min Pen Liab FAS 158-SERP</t>
  </si>
  <si>
    <t>2190006</t>
  </si>
  <si>
    <t>OCI-Min Pen Liab FAS 158-Qual</t>
  </si>
  <si>
    <t>2190007</t>
  </si>
  <si>
    <t>OCI-Min Pen Liab FAS 158-OPEB</t>
  </si>
  <si>
    <t>2190015</t>
  </si>
  <si>
    <t>Accum OCI-Hdg-CF-Int Rate</t>
  </si>
  <si>
    <t>2190016</t>
  </si>
  <si>
    <t>Accum OCI-Hdg-CF-For Exchg</t>
  </si>
  <si>
    <t>Acc Oth Comp Inc</t>
  </si>
  <si>
    <t>112.15.c</t>
  </si>
  <si>
    <t>Total Capital</t>
  </si>
  <si>
    <t>Common Equity Balance</t>
  </si>
  <si>
    <t>4181001 &amp; 002</t>
  </si>
  <si>
    <r>
      <t xml:space="preserve">   </t>
    </r>
    <r>
      <rPr>
        <sz val="10"/>
        <rFont val="Arial"/>
        <family val="2"/>
      </rPr>
      <t>ending total balances.</t>
    </r>
  </si>
  <si>
    <t>Source</t>
  </si>
  <si>
    <t>Steam Production</t>
  </si>
  <si>
    <t>FF1, 336, 7, b</t>
  </si>
  <si>
    <t>FF1, 336, 8, b</t>
  </si>
  <si>
    <t>Intangible Plant</t>
  </si>
  <si>
    <t>ARO Dep Exp</t>
  </si>
  <si>
    <t>FF1, 336, 12, c</t>
  </si>
  <si>
    <t>FF1, 336, 12, f</t>
  </si>
  <si>
    <t>Payroll Related Other Taxes</t>
  </si>
  <si>
    <t>Property Related Other Taxes</t>
  </si>
  <si>
    <t>Property</t>
  </si>
  <si>
    <t>Not Allocated ((Gross Receipts, Commission Assessments)</t>
  </si>
  <si>
    <t>NA</t>
  </si>
  <si>
    <t>Basis</t>
  </si>
  <si>
    <t>Amortization of Hedge Gain / Loss included in Acct 4270006</t>
  </si>
  <si>
    <t>Reconcilation to FF1, 257, 33, i</t>
  </si>
  <si>
    <t>Interest on LT Debt</t>
  </si>
  <si>
    <t>Interest on Assoc LT Debt</t>
  </si>
  <si>
    <t>Total (FF1, 257, 33, i)</t>
  </si>
  <si>
    <t>Reference</t>
  </si>
  <si>
    <t>TRANSMISSION</t>
  </si>
  <si>
    <t>DISTRIBUTION</t>
  </si>
  <si>
    <t>Day</t>
  </si>
  <si>
    <t>Average Peak</t>
  </si>
  <si>
    <t>f</t>
  </si>
  <si>
    <t>Source(s)</t>
  </si>
  <si>
    <t>112.16.c</t>
  </si>
  <si>
    <t>a</t>
  </si>
  <si>
    <t>b</t>
  </si>
  <si>
    <t>c</t>
  </si>
  <si>
    <t>d</t>
  </si>
  <si>
    <t>e</t>
  </si>
  <si>
    <t>112.12.c.</t>
  </si>
  <si>
    <t>Source(s)*</t>
  </si>
  <si>
    <t>112.3.c,6.c.,7.c.</t>
  </si>
  <si>
    <t>G(L) on Reacq'd</t>
  </si>
  <si>
    <t>Premium</t>
  </si>
  <si>
    <t>(Discount)</t>
  </si>
  <si>
    <t>Issued</t>
  </si>
  <si>
    <t>g=a-b-c-d-e-f</t>
  </si>
  <si>
    <t>Acc 213</t>
  </si>
  <si>
    <t>112.9.c</t>
  </si>
  <si>
    <t>(Discount) on Preferred</t>
  </si>
  <si>
    <t>Other Paid in Capital - Pfd</t>
  </si>
  <si>
    <t>Acc 208-211</t>
  </si>
  <si>
    <t>Total Outstanding</t>
  </si>
  <si>
    <t>a+b-c+d</t>
  </si>
  <si>
    <t>(2)</t>
  </si>
  <si>
    <t>(1)</t>
  </si>
  <si>
    <t>NOTES:</t>
  </si>
  <si>
    <t>Accounts 207-213 are capital stock accounts containing both common and preferred capital.  Preferred portions of these accounts are from the CBR.</t>
  </si>
  <si>
    <t>All data is from the monthly Balance Sheet of the Company's Books and Records (CBR).</t>
  </si>
  <si>
    <t>NOTE:  * Includes preferred portions of capital stock (common and preferred) accounts according to Company Books and Records below.</t>
  </si>
  <si>
    <t>Bonds</t>
  </si>
  <si>
    <t>FF1 Reference</t>
  </si>
  <si>
    <t xml:space="preserve"> (Reacquired Bonds)</t>
  </si>
  <si>
    <t>112.19.c.</t>
  </si>
  <si>
    <t>112.18.c.</t>
  </si>
  <si>
    <t>g=a+b+c+d+e+f</t>
  </si>
  <si>
    <t xml:space="preserve">Cost of Preferred Stock = Pfd Dividends/Average Pfd Outstanding Balance = </t>
  </si>
  <si>
    <t xml:space="preserve"> 112.20.c. </t>
  </si>
  <si>
    <t xml:space="preserve"> 257, col. (h) </t>
  </si>
  <si>
    <t>Labor</t>
  </si>
  <si>
    <t>(subject to limit on B-13)</t>
  </si>
  <si>
    <t>Note A:</t>
  </si>
  <si>
    <t>End of Year</t>
  </si>
  <si>
    <t>State Income Tax Rate (Composite).</t>
  </si>
  <si>
    <r>
      <t>AEPSC</t>
    </r>
    <r>
      <rPr>
        <vertAlign val="superscript"/>
        <sz val="10"/>
        <rFont val="Arial"/>
        <family val="2"/>
      </rPr>
      <t xml:space="preserve"> 2</t>
    </r>
  </si>
  <si>
    <r>
      <t xml:space="preserve">2 </t>
    </r>
    <r>
      <rPr>
        <sz val="10"/>
        <rFont val="Arial"/>
        <family val="2"/>
      </rPr>
      <t>From Company Books and Records.</t>
    </r>
  </si>
  <si>
    <t>FF1, 214, d</t>
  </si>
  <si>
    <t>Acct 926 (0057) PBOP Medicare Part Subsidy</t>
  </si>
  <si>
    <t>PBOP Amounts in Annual Informational Filing</t>
  </si>
  <si>
    <t>fr_desc</t>
  </si>
  <si>
    <t>fc_sortid</t>
  </si>
  <si>
    <t>description</t>
  </si>
  <si>
    <t>additions</t>
  </si>
  <si>
    <t>retirements</t>
  </si>
  <si>
    <t>adjustments</t>
  </si>
  <si>
    <t>end_month</t>
  </si>
  <si>
    <t>none</t>
  </si>
  <si>
    <t>Transmission Plant - Electric</t>
  </si>
  <si>
    <t>353 - Station Equipment</t>
  </si>
  <si>
    <t>205.46.g</t>
  </si>
  <si>
    <t>207.58.g</t>
  </si>
  <si>
    <t>207.57.g</t>
  </si>
  <si>
    <t>207.75.g</t>
  </si>
  <si>
    <t>207.74.g</t>
  </si>
  <si>
    <t>207.99.g</t>
  </si>
  <si>
    <t>207.98.g</t>
  </si>
  <si>
    <t>205.5.g</t>
  </si>
  <si>
    <t>DEFD STATE INCOME TAXES</t>
  </si>
  <si>
    <t>GAIN/LOSS ON ACRS/MACRS PROPERTY</t>
  </si>
  <si>
    <t>ABFUDC</t>
  </si>
  <si>
    <t>PERCENT REPAIR ALLOWANCE</t>
  </si>
  <si>
    <t>CAPITALIZED RELOCATION COSTS</t>
  </si>
  <si>
    <t>BOOK LEASES CAPITALIZED FOR TAX</t>
  </si>
  <si>
    <t>LOSS ON REACQUIRED DEBT</t>
  </si>
  <si>
    <r>
      <t xml:space="preserve">1 </t>
    </r>
    <r>
      <rPr>
        <sz val="10"/>
        <rFont val="Arial"/>
        <family val="2"/>
      </rPr>
      <t>References to data from FERC Form 1 are indicated as page#, line#, col.# for the ending total balances.</t>
    </r>
  </si>
  <si>
    <t>Urea</t>
  </si>
  <si>
    <t>Lime &amp; Limestone Intrasit</t>
  </si>
  <si>
    <t>Employee Benefits</t>
  </si>
  <si>
    <t>COLUMN A</t>
  </si>
  <si>
    <t>COLUMN B</t>
  </si>
  <si>
    <t>COLUMN C</t>
  </si>
  <si>
    <t>COLUMN E</t>
  </si>
  <si>
    <t>BALANCE AS</t>
  </si>
  <si>
    <t>ACCUMULATED DEFERRED FIT ITEMS</t>
  </si>
  <si>
    <t>GENERATION</t>
  </si>
  <si>
    <t>ACCOUNT 281:</t>
  </si>
  <si>
    <t xml:space="preserve">NON-UTILITY DEFERRED FIT </t>
  </si>
  <si>
    <t>SFAS 109 FLOW-THRU 281.3</t>
  </si>
  <si>
    <t>SFAS 109 EXCESS DFIT 281.4</t>
  </si>
  <si>
    <t>TOTAL ACCOUNT 281</t>
  </si>
  <si>
    <t>ACCOUNT 282:</t>
  </si>
  <si>
    <t>R &amp; D DEDUCTION - SECTION 174</t>
  </si>
  <si>
    <t>SEC 481 PENS/OPEB ADJUSTMENT</t>
  </si>
  <si>
    <t>BOOK/TAX UNIT OF PROPERTY ADJ</t>
  </si>
  <si>
    <t>BK/TAX UNIT OF PROPERTY ADJ-SEC 481 ADJ</t>
  </si>
  <si>
    <t>CAPITALIZED LEASES - A/C 1011 ASSETS</t>
  </si>
  <si>
    <t>SFAS 109 FLOW-THRU 282.3</t>
  </si>
  <si>
    <t>SFAS 109 EXCESS DFIT 282.4</t>
  </si>
  <si>
    <t>TOTAL ACOUNT 282</t>
  </si>
  <si>
    <t>1650001 -  This account shall include amounts representing prepayments of insurance.</t>
  </si>
  <si>
    <t>1650005 - This account shall include amounts representing prepayments of employee benefits.</t>
  </si>
  <si>
    <t>1650009 - This account is used for factoring the AEP-East electric accounts receivable.</t>
  </si>
  <si>
    <t>Direct Production Related</t>
  </si>
  <si>
    <t>Direct Distribution Related</t>
  </si>
  <si>
    <t>Water for Power</t>
  </si>
  <si>
    <t>Hydraulic Expenses</t>
  </si>
  <si>
    <t>Miscellaneous Hydraulic Power</t>
  </si>
  <si>
    <t>Maintenance of Reservious, Dams and Waterways</t>
  </si>
  <si>
    <t>Maintenance of Miscellaneous Hydraulic Plant</t>
  </si>
  <si>
    <t>Regional Market Expense</t>
  </si>
  <si>
    <t>Market Facilitation, Monitoring and Compliance</t>
  </si>
  <si>
    <t>Total Elec O &amp; M Exp. - FERC Form1 pg. 323, L. 198(b)</t>
  </si>
  <si>
    <t>company</t>
  </si>
  <si>
    <t>utility_account</t>
  </si>
  <si>
    <t>asset_location</t>
  </si>
  <si>
    <t>book_cost</t>
  </si>
  <si>
    <t>allocated_reserve</t>
  </si>
  <si>
    <t>net_book_value</t>
  </si>
  <si>
    <t>Amortization Period</t>
  </si>
  <si>
    <t>HEDGE AMOUNTS BY ISSUANCE (FROM p. 256-257 (i) of the FERC Form 1)</t>
  </si>
  <si>
    <t>Net Includable Hedge Amount</t>
  </si>
  <si>
    <t>Remaining Unamortized Balance</t>
  </si>
  <si>
    <t>Beginning</t>
  </si>
  <si>
    <t>Ending</t>
  </si>
  <si>
    <t>Total Hedge Amortization</t>
  </si>
  <si>
    <t>Non Labor</t>
  </si>
  <si>
    <t>1080001 ARO</t>
  </si>
  <si>
    <r>
      <t xml:space="preserve">1 </t>
    </r>
    <r>
      <rPr>
        <sz val="10"/>
        <rFont val="Arial"/>
        <family val="2"/>
      </rPr>
      <t>CBR indicates that data comparable to that reported in the FERC Form 1</t>
    </r>
  </si>
  <si>
    <t>is from the Company's Books and Records.</t>
  </si>
  <si>
    <r>
      <t xml:space="preserve">Demand ($) </t>
    </r>
    <r>
      <rPr>
        <vertAlign val="superscript"/>
        <sz val="10"/>
        <rFont val="Arial"/>
        <family val="2"/>
      </rPr>
      <t>1</t>
    </r>
  </si>
  <si>
    <r>
      <t xml:space="preserve">Energy ($) </t>
    </r>
    <r>
      <rPr>
        <u/>
        <vertAlign val="superscript"/>
        <sz val="10"/>
        <rFont val="Arial"/>
        <family val="2"/>
      </rPr>
      <t>1</t>
    </r>
  </si>
  <si>
    <r>
      <t xml:space="preserve">Demand ($) </t>
    </r>
    <r>
      <rPr>
        <u/>
        <vertAlign val="superscript"/>
        <sz val="10"/>
        <rFont val="Arial"/>
        <family val="2"/>
      </rPr>
      <t>1</t>
    </r>
  </si>
  <si>
    <t>transfers</t>
  </si>
  <si>
    <t xml:space="preserve">Hour </t>
  </si>
  <si>
    <t xml:space="preserve">Federal Unemployment Tax </t>
  </si>
  <si>
    <t xml:space="preserve">State Unemployment Insurance </t>
  </si>
  <si>
    <t xml:space="preserve">State Public Service Commission Fees </t>
  </si>
  <si>
    <t xml:space="preserve">State Franchise Taxes </t>
  </si>
  <si>
    <t xml:space="preserve">State Lic/Registration Fee  </t>
  </si>
  <si>
    <t xml:space="preserve">Sales &amp; Use </t>
  </si>
  <si>
    <t>Federal Excise Tax</t>
  </si>
  <si>
    <t>Fuel - Account 501</t>
  </si>
  <si>
    <t>320, 5, b</t>
  </si>
  <si>
    <t>Fuel Handling</t>
  </si>
  <si>
    <t>Sale of Fly Ash (Revenue &amp; Expense)</t>
  </si>
  <si>
    <t xml:space="preserve">CBR </t>
  </si>
  <si>
    <t>Total General and Intangible Exc. ARO</t>
  </si>
  <si>
    <t xml:space="preserve">Total General and Intangible </t>
  </si>
  <si>
    <t>Note:  Total includes Intangible Plant.</t>
  </si>
  <si>
    <t>Demand (MW)</t>
  </si>
  <si>
    <r>
      <t xml:space="preserve">1 </t>
    </r>
    <r>
      <rPr>
        <sz val="10"/>
        <rFont val="Arial"/>
        <family val="2"/>
      </rPr>
      <t xml:space="preserve">References to data from FERC Form 1 are indicated as page#, line#, col.# for the </t>
    </r>
  </si>
  <si>
    <t>References to data from FERC Form 1 are indicated as page#, line#, col.# for the</t>
  </si>
  <si>
    <t>ending total balances.</t>
  </si>
  <si>
    <t>Load Dispatch-Reliability</t>
  </si>
  <si>
    <t>Load Dispatch-Monitor and Operate</t>
  </si>
  <si>
    <t>Load Dispatch-Transmission Service</t>
  </si>
  <si>
    <t>Scheduling, System Control</t>
  </si>
  <si>
    <t>Reliability, Planning and Standards Dev.</t>
  </si>
  <si>
    <t>Transmission Service Studies</t>
  </si>
  <si>
    <t>Generation Interconnection Studies</t>
  </si>
  <si>
    <r>
      <t xml:space="preserve">1 </t>
    </r>
    <r>
      <rPr>
        <sz val="9"/>
        <rFont val="Arial"/>
        <family val="2"/>
      </rPr>
      <t>References to data from FERC Form 1 are indicated as page#, line#, col.# for the ending total balances.</t>
    </r>
  </si>
  <si>
    <t>Charge</t>
  </si>
  <si>
    <t>110.45.c</t>
  </si>
  <si>
    <t>In Transit</t>
  </si>
  <si>
    <t>1650021/1650023</t>
  </si>
  <si>
    <t>Ins. &amp; Lease</t>
  </si>
  <si>
    <t>Taxes</t>
  </si>
  <si>
    <t>FF1, 336, 10, b &amp; d</t>
  </si>
  <si>
    <t>TX AMORT POLLUTION CONT EQPT</t>
  </si>
  <si>
    <t>DEFD SFAS 106 BOOK COSTS</t>
  </si>
  <si>
    <t>SFAS 133 ADIT FED - SFAS 133 NONAFFIL 2830006</t>
  </si>
  <si>
    <t>Mainteneance of Computer Hardware</t>
  </si>
  <si>
    <t>Maintenance of Computer Software</t>
  </si>
  <si>
    <t>Maintenance of Communication Equip</t>
  </si>
  <si>
    <t>Maintenance of Reactor Plant</t>
  </si>
  <si>
    <t>Maintenance of Misc. Nuclear Plant</t>
  </si>
  <si>
    <t>Coolants and Water</t>
  </si>
  <si>
    <t>Misc. Nuclear Power Expense</t>
  </si>
  <si>
    <t>OCI-Min Pen Liab FAS 158-Affil</t>
  </si>
  <si>
    <t>Other Charges</t>
  </si>
  <si>
    <t>state</t>
  </si>
  <si>
    <t>month</t>
  </si>
  <si>
    <t>1080001/1080011</t>
  </si>
  <si>
    <t xml:space="preserve">Fuel </t>
  </si>
  <si>
    <t>Fuel - Account 518</t>
  </si>
  <si>
    <t>Total Fuel</t>
  </si>
  <si>
    <t>320, 25, b</t>
  </si>
  <si>
    <t>.</t>
  </si>
  <si>
    <t>1650021 - This account shall include amounts representing prepayments of insurance with EIS (Energy Insurance Services).</t>
  </si>
  <si>
    <t xml:space="preserve">1650023 - Track balance of prepaid lease expense for agreements that qualify as a lease under company policy and are not tracked in PowerPlant Lease Accounting system will use this account.  </t>
  </si>
  <si>
    <t>Undistributed</t>
  </si>
  <si>
    <t>110.46.c</t>
  </si>
  <si>
    <t>110.52.c</t>
  </si>
  <si>
    <r>
      <t xml:space="preserve">($) </t>
    </r>
    <r>
      <rPr>
        <u/>
        <vertAlign val="superscript"/>
        <sz val="10"/>
        <rFont val="Arial"/>
        <family val="2"/>
      </rPr>
      <t>1</t>
    </r>
    <r>
      <rPr>
        <u/>
        <sz val="10"/>
        <rFont val="Arial"/>
        <family val="2"/>
      </rPr>
      <t xml:space="preserve"> </t>
    </r>
  </si>
  <si>
    <t>Prem on Capital Stk</t>
  </si>
  <si>
    <t>Interest*</t>
  </si>
  <si>
    <r>
      <t xml:space="preserve">Demand </t>
    </r>
    <r>
      <rPr>
        <vertAlign val="superscript"/>
        <sz val="10"/>
        <rFont val="Arial"/>
        <family val="2"/>
      </rPr>
      <t>1</t>
    </r>
  </si>
  <si>
    <r>
      <t xml:space="preserve">1 </t>
    </r>
    <r>
      <rPr>
        <sz val="10"/>
        <rFont val="Arial"/>
        <family val="2"/>
      </rPr>
      <t xml:space="preserve">CBR indicates that data comparable to that reported in the FERC Form 1 </t>
    </r>
  </si>
  <si>
    <t>Capacity Cost of Service Formula Rate</t>
  </si>
  <si>
    <t xml:space="preserve">  </t>
  </si>
  <si>
    <t>Workpaper 1 - Production System Peak Demand</t>
  </si>
  <si>
    <t>Workpaper 2 - Production Revenue Credits</t>
  </si>
  <si>
    <t xml:space="preserve">             Capacity Cost of Service Formula Rate</t>
  </si>
  <si>
    <t>Workpaper 5a - Materials and Supplies</t>
  </si>
  <si>
    <t xml:space="preserve">   Capacity Cost of Service Formula Rate</t>
  </si>
  <si>
    <t>Workpaper 5b - Fuel Inventory</t>
  </si>
  <si>
    <t>Workpaper 5c -  Prepayments</t>
  </si>
  <si>
    <t xml:space="preserve"> Capacity Cost of Service Formula Rate</t>
  </si>
  <si>
    <t>Workpaper 6a - Plant in Service</t>
  </si>
  <si>
    <t>Workpaper 6b - Accumulated Depreciation</t>
  </si>
  <si>
    <t xml:space="preserve">Workpaper 6c - General Plant and Intangible Plant </t>
  </si>
  <si>
    <t xml:space="preserve">Workpaper 4 </t>
  </si>
  <si>
    <t>Intentionally left blank - not applicable.</t>
  </si>
  <si>
    <t xml:space="preserve">Workpaper 15a </t>
  </si>
  <si>
    <t>Workpaper 17-Balance of Transmission Investment</t>
  </si>
  <si>
    <t>Workpaper 19 - Plant Held for Future Use</t>
  </si>
  <si>
    <t>REG ASSET-NET CCS FEED STUDY COSTS</t>
  </si>
  <si>
    <t>ACCRUED BK PENSION EXPENSE</t>
  </si>
  <si>
    <t>Appalachian Power Company</t>
  </si>
  <si>
    <t xml:space="preserve">Lime and </t>
  </si>
  <si>
    <t>Limestone</t>
  </si>
  <si>
    <t>Inventory</t>
  </si>
  <si>
    <t>Appalachian Power Power Company</t>
  </si>
  <si>
    <t>Prepays</t>
  </si>
  <si>
    <t>1650004 -  This account shall include amounts representing prepayments of interest.</t>
  </si>
  <si>
    <t xml:space="preserve">Appalachian Power Company </t>
  </si>
  <si>
    <t>Other Tangible Property</t>
  </si>
  <si>
    <t>Other Production Plant</t>
  </si>
  <si>
    <t>FF1, 336, 6 b</t>
  </si>
  <si>
    <t>(A)</t>
  </si>
  <si>
    <t>(C)</t>
  </si>
  <si>
    <t>(D)</t>
  </si>
  <si>
    <t>FERC FORM 1</t>
  </si>
  <si>
    <t>No.</t>
  </si>
  <si>
    <t>Tie-Back</t>
  </si>
  <si>
    <t>FERC FORM 1 Reference</t>
  </si>
  <si>
    <t>Gross Receipts Tax</t>
  </si>
  <si>
    <t>Real and Personal Property - West Virginia</t>
  </si>
  <si>
    <t>Real and Personal Property - Virginia</t>
  </si>
  <si>
    <t>Real and Personal Property - Tennessee</t>
  </si>
  <si>
    <t>Real and Personal Property - Other Jurisdictions</t>
  </si>
  <si>
    <t xml:space="preserve">Federal Insurance Contribution (FICA) </t>
  </si>
  <si>
    <t>State Severance Taxes</t>
  </si>
  <si>
    <t>State Business &amp; Occupation Tax</t>
  </si>
  <si>
    <t xml:space="preserve">Misc. State and Local Tax </t>
  </si>
  <si>
    <t xml:space="preserve"> Total Taxes by Allocable Basis</t>
  </si>
  <si>
    <t>(Total Company Amount Ties to FFI p.114, Ln 14,(c))</t>
  </si>
  <si>
    <t>N/A</t>
  </si>
  <si>
    <r>
      <t>APCo</t>
    </r>
    <r>
      <rPr>
        <vertAlign val="superscript"/>
        <sz val="10"/>
        <rFont val="Arial"/>
        <family val="2"/>
      </rPr>
      <t>1</t>
    </r>
  </si>
  <si>
    <t>Acct 926 (0039) PBOP Gross Cost</t>
  </si>
  <si>
    <t>Fuel - Account 547</t>
  </si>
  <si>
    <t>321, 63, b</t>
  </si>
  <si>
    <t xml:space="preserve">Excluded </t>
  </si>
  <si>
    <r>
      <t>($) Margins</t>
    </r>
    <r>
      <rPr>
        <u/>
        <vertAlign val="superscript"/>
        <sz val="10"/>
        <rFont val="Arial"/>
        <family val="2"/>
      </rPr>
      <t xml:space="preserve"> 2</t>
    </r>
  </si>
  <si>
    <t>Less Carbon</t>
  </si>
  <si>
    <t>Total Purchased Power</t>
  </si>
  <si>
    <t>Expense</t>
  </si>
  <si>
    <t xml:space="preserve">Workpaper 3 </t>
  </si>
  <si>
    <t xml:space="preserve">Excluding ARO </t>
  </si>
  <si>
    <t>Workpaper 8a</t>
  </si>
  <si>
    <t xml:space="preserve">Annual Tax Expenses by Type </t>
  </si>
  <si>
    <r>
      <t>Charges</t>
    </r>
    <r>
      <rPr>
        <u/>
        <vertAlign val="superscript"/>
        <sz val="10"/>
        <rFont val="Arial"/>
        <family val="2"/>
      </rPr>
      <t xml:space="preserve"> 2</t>
    </r>
  </si>
  <si>
    <t>FF1, 336, 1, d</t>
  </si>
  <si>
    <r>
      <t xml:space="preserve">1 </t>
    </r>
    <r>
      <rPr>
        <sz val="10"/>
        <rFont val="Arial"/>
        <family val="2"/>
      </rPr>
      <t>Wages and Salaries from FERC Form Pg. 354.</t>
    </r>
  </si>
  <si>
    <t>1650006 - This account shall include amounts representing prepayments of other items not listed.</t>
  </si>
  <si>
    <r>
      <t>2</t>
    </r>
    <r>
      <rPr>
        <sz val="10"/>
        <rFont val="Arial"/>
        <family val="2"/>
      </rPr>
      <t xml:space="preserve"> margins provided by Accounting (represents 75% of system sales margins)</t>
    </r>
  </si>
  <si>
    <t>112.15.c.</t>
  </si>
  <si>
    <t>Allowable Expense</t>
  </si>
  <si>
    <t>Actual Expense - Removed from Cost of Service</t>
  </si>
  <si>
    <t>926a</t>
  </si>
  <si>
    <t>926b</t>
  </si>
  <si>
    <t>Allowed Employee Benefits (Note B)</t>
  </si>
  <si>
    <t>Less:  Actual Employee Benefits (Note A)</t>
  </si>
  <si>
    <t xml:space="preserve">Employee Benefits </t>
  </si>
  <si>
    <t>PBOP Amounts Recovery Allowance</t>
  </si>
  <si>
    <r>
      <t>Function</t>
    </r>
    <r>
      <rPr>
        <u/>
        <vertAlign val="superscript"/>
        <sz val="10"/>
        <rFont val="Arial"/>
        <family val="2"/>
      </rPr>
      <t xml:space="preserve"> 2</t>
    </r>
  </si>
  <si>
    <r>
      <t xml:space="preserve">Function </t>
    </r>
    <r>
      <rPr>
        <u/>
        <vertAlign val="superscript"/>
        <sz val="10"/>
        <rFont val="Arial"/>
        <family val="2"/>
      </rPr>
      <t>2</t>
    </r>
  </si>
  <si>
    <t>FF1, pg., Ln. Col.</t>
  </si>
  <si>
    <t>Leesville Hydro Project - Adm. Federal Power Act</t>
  </si>
  <si>
    <t>Smith Mountain - Adm. Federal Power Act</t>
  </si>
  <si>
    <t>Claytor Hydro Project - Adm. Federal Power Act</t>
  </si>
  <si>
    <t>Byllesby Buck Hydro Project - Adm. Federal Power Act</t>
  </si>
  <si>
    <t>Marmet and London Hydro - Adm. Federal Power Act</t>
  </si>
  <si>
    <t>Winfield Hydro - Adm. Federal Power Act</t>
  </si>
  <si>
    <t>Niagara Hydro Project - Adm. Federal Power Act</t>
  </si>
  <si>
    <t>Total Wholesale</t>
  </si>
  <si>
    <t>Total Retail</t>
  </si>
  <si>
    <t>Reconciliation Account 430</t>
  </si>
  <si>
    <t>Interest Expense Long Term Debt</t>
  </si>
  <si>
    <t>Interest Expense Short Term Debt</t>
  </si>
  <si>
    <t>FF1, pg. 117, Ln. 67</t>
  </si>
  <si>
    <r>
      <t>2</t>
    </r>
    <r>
      <rPr>
        <sz val="10"/>
        <rFont val="Arial"/>
        <family val="2"/>
      </rPr>
      <t xml:space="preserve">  The deferred portion of APCo's capacity equalization payments related to environmental compliance investments FF 1, pg. 327, column (l)</t>
    </r>
  </si>
  <si>
    <t>Hydraulic  Production-Pumped Storage</t>
  </si>
  <si>
    <t>Hydraulic Production - Conventional</t>
  </si>
  <si>
    <t>FF1, 336, 4 b</t>
  </si>
  <si>
    <t>FF1, 336, 5 b</t>
  </si>
  <si>
    <t>FF1, 336, 12, b &amp; d</t>
  </si>
  <si>
    <t>Depreciation and Amortization Expense</t>
  </si>
  <si>
    <t>320.6.(b)</t>
  </si>
  <si>
    <t>320.9.(b)</t>
  </si>
  <si>
    <t>320.10.(b)</t>
  </si>
  <si>
    <t>320.11.(b)</t>
  </si>
  <si>
    <t>320.12.(b)</t>
  </si>
  <si>
    <t>320.24.(b)</t>
  </si>
  <si>
    <t>320.26.(b)</t>
  </si>
  <si>
    <t>320.27.(b)</t>
  </si>
  <si>
    <t>320.30.(b)</t>
  </si>
  <si>
    <t>320.31.(b)</t>
  </si>
  <si>
    <t>320.44.(b)</t>
  </si>
  <si>
    <t>320.45.(b)</t>
  </si>
  <si>
    <t>320.46.(b)</t>
  </si>
  <si>
    <t>320.47.(b)</t>
  </si>
  <si>
    <t>320.48.(b)</t>
  </si>
  <si>
    <t>321.62.(b)</t>
  </si>
  <si>
    <t>321.63.(b)</t>
  </si>
  <si>
    <t>321.64.(b)</t>
  </si>
  <si>
    <t>321.65.(b)</t>
  </si>
  <si>
    <t>320.15.(b)</t>
  </si>
  <si>
    <t>320.16.(b)</t>
  </si>
  <si>
    <t>320.17.(b)</t>
  </si>
  <si>
    <t>320.18.(b)</t>
  </si>
  <si>
    <t>320.19.(b)</t>
  </si>
  <si>
    <t>320.35.(b)</t>
  </si>
  <si>
    <t>320.36.(b)</t>
  </si>
  <si>
    <t>320.37.(b)</t>
  </si>
  <si>
    <t>320.38.(b)</t>
  </si>
  <si>
    <t>320.39.(b)</t>
  </si>
  <si>
    <t>320.53.(b)</t>
  </si>
  <si>
    <t>320.54.(b)</t>
  </si>
  <si>
    <t>320.55.(b)</t>
  </si>
  <si>
    <t>320.56.(b)</t>
  </si>
  <si>
    <t>320.57.(b)</t>
  </si>
  <si>
    <t>321.69.(b)</t>
  </si>
  <si>
    <t>321.71.(b)</t>
  </si>
  <si>
    <t>321.76.(b)</t>
  </si>
  <si>
    <t>321.77.(b)</t>
  </si>
  <si>
    <t>321.78.(b)</t>
  </si>
  <si>
    <t>321.79.(b)</t>
  </si>
  <si>
    <t>321.80.(b)</t>
  </si>
  <si>
    <t>321.83.(b)</t>
  </si>
  <si>
    <t>321.85.(b)</t>
  </si>
  <si>
    <t>321.86.(b)</t>
  </si>
  <si>
    <t>321.87.(b)</t>
  </si>
  <si>
    <t>321.88.(b)</t>
  </si>
  <si>
    <t>321.89.(b)</t>
  </si>
  <si>
    <t>321.90.(b)</t>
  </si>
  <si>
    <t>321.91.(b)</t>
  </si>
  <si>
    <t>321.92.(b)</t>
  </si>
  <si>
    <t>321.93.(b)</t>
  </si>
  <si>
    <t>321.94.(b)</t>
  </si>
  <si>
    <t>321.95.(b)</t>
  </si>
  <si>
    <t>321.96.(b)</t>
  </si>
  <si>
    <t>321.97.(b)</t>
  </si>
  <si>
    <t>321.98.(b)</t>
  </si>
  <si>
    <t>321.99.(b)</t>
  </si>
  <si>
    <t>321.101.(b)</t>
  </si>
  <si>
    <t>321.102.(b)</t>
  </si>
  <si>
    <t>321.103.(b)</t>
  </si>
  <si>
    <t>321.104.(b)</t>
  </si>
  <si>
    <t>321.105.(b)</t>
  </si>
  <si>
    <t>321.107.(b)</t>
  </si>
  <si>
    <t>321.108.(b)</t>
  </si>
  <si>
    <t>321.109.(b)</t>
  </si>
  <si>
    <t>321.110.(b)</t>
  </si>
  <si>
    <t>321.111.(b)</t>
  </si>
  <si>
    <t>321.112.(b)</t>
  </si>
  <si>
    <t>322.121.(b)</t>
  </si>
  <si>
    <t>322.134.(b)</t>
  </si>
  <si>
    <t>322.135.(b)</t>
  </si>
  <si>
    <t>322.136.(b)</t>
  </si>
  <si>
    <t>322.137.(b)</t>
  </si>
  <si>
    <t>322.138.(b)</t>
  </si>
  <si>
    <t>322.139.(b)</t>
  </si>
  <si>
    <t>322.140.(b)</t>
  </si>
  <si>
    <t>322.141.(b)</t>
  </si>
  <si>
    <t>322.142.(b)</t>
  </si>
  <si>
    <t>322.143.(b)</t>
  </si>
  <si>
    <t>322.144.(b)</t>
  </si>
  <si>
    <t>322.146.(b)</t>
  </si>
  <si>
    <t>322.147.(b)</t>
  </si>
  <si>
    <t>322.148.(b)</t>
  </si>
  <si>
    <t>322.149.(b)</t>
  </si>
  <si>
    <t>322.150.(b)</t>
  </si>
  <si>
    <t>322.151.(b)</t>
  </si>
  <si>
    <t>322.152.(b)</t>
  </si>
  <si>
    <t>322.153.(b)</t>
  </si>
  <si>
    <t>322.154.(b)</t>
  </si>
  <si>
    <t>322.155.(b)</t>
  </si>
  <si>
    <t>322.156.(b)</t>
  </si>
  <si>
    <t>322.159.(b)</t>
  </si>
  <si>
    <t>322.160.(b)</t>
  </si>
  <si>
    <t>322.161.(b)</t>
  </si>
  <si>
    <t>322.162.(b)</t>
  </si>
  <si>
    <t>322.163.(b)</t>
  </si>
  <si>
    <t>322.164.(b)</t>
  </si>
  <si>
    <t>323.167.(b)</t>
  </si>
  <si>
    <t>323.168.(b)</t>
  </si>
  <si>
    <t>323.169.(b)</t>
  </si>
  <si>
    <t>323.170.(b)</t>
  </si>
  <si>
    <t>323.174.(b)</t>
  </si>
  <si>
    <t>323.175.(b)</t>
  </si>
  <si>
    <t>323.176.(b)</t>
  </si>
  <si>
    <t>323.177.(b)</t>
  </si>
  <si>
    <t>323.178.(b)</t>
  </si>
  <si>
    <t>323.181.(b)</t>
  </si>
  <si>
    <t>323.182.(b)</t>
  </si>
  <si>
    <t>323.183.(b)</t>
  </si>
  <si>
    <t>323.184.(b)</t>
  </si>
  <si>
    <t>323.185.(b)</t>
  </si>
  <si>
    <t>323.186.(b)</t>
  </si>
  <si>
    <t>323.187.(b)</t>
  </si>
  <si>
    <t>323.188.(b)</t>
  </si>
  <si>
    <t>323.189.(b)</t>
  </si>
  <si>
    <t>323.190.(b)</t>
  </si>
  <si>
    <t>323.191.(b)</t>
  </si>
  <si>
    <t>323.192.(b)</t>
  </si>
  <si>
    <t>323.193.(b)</t>
  </si>
  <si>
    <t>320.194.(b)</t>
  </si>
  <si>
    <t>323.196.(b)</t>
  </si>
  <si>
    <t>323.197.(b)</t>
  </si>
  <si>
    <t>323.198.(b)</t>
  </si>
  <si>
    <t>Total FF1, pg. 351, Ln. 46, Col(h)</t>
  </si>
  <si>
    <r>
      <t>Wholesale - FERC</t>
    </r>
    <r>
      <rPr>
        <i/>
        <vertAlign val="superscript"/>
        <sz val="12"/>
        <rFont val="Arial"/>
        <family val="2"/>
      </rPr>
      <t>1</t>
    </r>
    <r>
      <rPr>
        <i/>
        <sz val="12"/>
        <rFont val="Arial"/>
        <family val="2"/>
      </rPr>
      <t xml:space="preserve"> 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</si>
  <si>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 Assessment for cost of administration of Federal Water Power Act.</t>
    </r>
  </si>
  <si>
    <t>Total Depreciation Expense</t>
  </si>
  <si>
    <t>Total Allocated Labor Expense</t>
  </si>
  <si>
    <r>
      <t xml:space="preserve">Demand </t>
    </r>
    <r>
      <rPr>
        <u/>
        <vertAlign val="superscript"/>
        <sz val="6"/>
        <rFont val="Arial"/>
        <family val="2"/>
      </rPr>
      <t>1</t>
    </r>
  </si>
  <si>
    <r>
      <t xml:space="preserve">Energy </t>
    </r>
    <r>
      <rPr>
        <u/>
        <vertAlign val="superscript"/>
        <sz val="6"/>
        <rFont val="Arial"/>
        <family val="2"/>
      </rPr>
      <t>1</t>
    </r>
  </si>
  <si>
    <t>Operation Supervision and Engineering</t>
  </si>
  <si>
    <t>Steam Expense</t>
  </si>
  <si>
    <t>Electric Expense</t>
  </si>
  <si>
    <t>Misc Nuclear Power Expense</t>
  </si>
  <si>
    <t>Maintenance of Misc Nuclear Plant</t>
  </si>
  <si>
    <t>Maint of Reservoirs, Dams and Waterways</t>
  </si>
  <si>
    <t>Maintenance of Misc Hydraulic Plant</t>
  </si>
  <si>
    <t>Misc Power Generation Exp</t>
  </si>
  <si>
    <t>Maintenance of Misc Other Power Gen Plant</t>
  </si>
  <si>
    <t>Workpaper 6d - Depreciation Expense</t>
  </si>
  <si>
    <t>320.4.(b)</t>
  </si>
  <si>
    <t>320.5.(b)</t>
  </si>
  <si>
    <t>320.25.(b)</t>
  </si>
  <si>
    <t>320.49.(b)</t>
  </si>
  <si>
    <t>321.72.(b)</t>
  </si>
  <si>
    <t>323.171.(b)</t>
  </si>
  <si>
    <t>327,m</t>
  </si>
  <si>
    <t xml:space="preserve">  FF1, 311, h, i, j (Non-RQ)</t>
  </si>
  <si>
    <t>205.15,24,34,44.g</t>
  </si>
  <si>
    <t>(B)</t>
  </si>
  <si>
    <r>
      <t xml:space="preserve">2 </t>
    </r>
    <r>
      <rPr>
        <sz val="9"/>
        <rFont val="Arial"/>
        <family val="2"/>
      </rPr>
      <t>CBR indicates that data comparable to that reported in the FERC Form 1 is from the Company's Books and Records.</t>
    </r>
  </si>
  <si>
    <r>
      <rPr>
        <vertAlign val="superscript"/>
        <sz val="10"/>
        <rFont val="Arial"/>
        <family val="2"/>
      </rPr>
      <t xml:space="preserve">2 </t>
    </r>
    <r>
      <rPr>
        <sz val="10"/>
        <rFont val="Arial"/>
        <family val="2"/>
      </rPr>
      <t>CBR indicates that data comparable to that reported in the FERC Form 1 is from the Company's Books and Records.</t>
    </r>
  </si>
  <si>
    <r>
      <t>Source</t>
    </r>
    <r>
      <rPr>
        <u/>
        <vertAlign val="superscript"/>
        <sz val="10"/>
        <rFont val="Arial"/>
        <family val="2"/>
      </rPr>
      <t xml:space="preserve"> 1 2</t>
    </r>
  </si>
  <si>
    <r>
      <t>Source</t>
    </r>
    <r>
      <rPr>
        <vertAlign val="superscript"/>
        <sz val="10"/>
        <rFont val="Arial"/>
        <family val="2"/>
      </rPr>
      <t xml:space="preserve"> 1 </t>
    </r>
  </si>
  <si>
    <t xml:space="preserve">       where WCLTD and WACC from Appendix 2, pg. 11, Col.(4)</t>
  </si>
  <si>
    <t xml:space="preserve">     T=1 - {[(1 - SIT) * (1 - FIT)] / (1 - SIT * FIT * P)} =</t>
  </si>
  <si>
    <t>P</t>
  </si>
  <si>
    <t>320.7.(b)</t>
  </si>
  <si>
    <t>320.8.(b)</t>
  </si>
  <si>
    <t>320.28.(b)</t>
  </si>
  <si>
    <t>320.29.(b)</t>
  </si>
  <si>
    <t>321.66.(b)</t>
  </si>
  <si>
    <t>321.70.(b)</t>
  </si>
  <si>
    <t>Page 1 of 4</t>
  </si>
  <si>
    <t>Page 2 of 4</t>
  </si>
  <si>
    <t>Page 3 of 4</t>
  </si>
  <si>
    <t>Page 4 of 4</t>
  </si>
  <si>
    <t xml:space="preserve">       and FIT, SIT &amp; P are as shown below.</t>
  </si>
  <si>
    <t>Page 1 of 2</t>
  </si>
  <si>
    <t>Page 2 of 2</t>
  </si>
  <si>
    <t>320.32.(b)</t>
  </si>
  <si>
    <r>
      <t>Capture Expense</t>
    </r>
    <r>
      <rPr>
        <u/>
        <vertAlign val="superscript"/>
        <sz val="10"/>
        <rFont val="Arial"/>
        <family val="2"/>
      </rPr>
      <t xml:space="preserve"> 2</t>
    </r>
  </si>
  <si>
    <r>
      <t>Source</t>
    </r>
    <r>
      <rPr>
        <vertAlign val="superscript"/>
        <sz val="6"/>
        <rFont val="Arial"/>
        <family val="2"/>
      </rPr>
      <t xml:space="preserve"> 1</t>
    </r>
  </si>
  <si>
    <r>
      <t>2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 From Company's Books and Records.</t>
    </r>
  </si>
  <si>
    <r>
      <t xml:space="preserve">1  </t>
    </r>
    <r>
      <rPr>
        <sz val="10"/>
        <rFont val="Arial"/>
        <family val="2"/>
      </rPr>
      <t>References to data from FERC Form 1 are indicated as page#, line#, col.# for the ending total balances pgs. 320-323,,b</t>
    </r>
  </si>
  <si>
    <t>Percent of FIT deductible for state purposes (Note 3).</t>
  </si>
  <si>
    <t>Note 1:  Apportionment Factors are determined as part of the Company's annual tax return for that jurisdiction.</t>
  </si>
  <si>
    <t>Note 3:  Percent deductible for state purposes provided from Company's books and records.</t>
  </si>
  <si>
    <t>Note 2:  From Company Books and Records.</t>
  </si>
  <si>
    <r>
      <t>Rate Base</t>
    </r>
    <r>
      <rPr>
        <vertAlign val="superscript"/>
        <sz val="10"/>
        <rFont val="Arial"/>
        <family val="2"/>
      </rPr>
      <t>2</t>
    </r>
  </si>
  <si>
    <t>General Plant (FF1, 207.86-97,g)</t>
  </si>
  <si>
    <t>FF1, 336, 2, b &amp; d</t>
  </si>
  <si>
    <r>
      <t>CBR</t>
    </r>
    <r>
      <rPr>
        <vertAlign val="superscript"/>
        <sz val="10"/>
        <rFont val="Arial"/>
        <family val="2"/>
      </rPr>
      <t>2</t>
    </r>
  </si>
  <si>
    <t>APPALACHIAN POWER COMPANY</t>
  </si>
  <si>
    <t>DISALLOWED COSTS-RESERVE DEFICIENCY-APCO VA</t>
  </si>
  <si>
    <t>GAIN ON REACQUIRED DEBT</t>
  </si>
  <si>
    <t>NOL - STATE C/F - DEF STATE TAX ASSET - L/T</t>
  </si>
  <si>
    <t>WV UNREC FUEL DISPUTED COAL INV</t>
  </si>
  <si>
    <t>PROP TX-STATE 2 OLD METHOD-TX</t>
  </si>
  <si>
    <t>DEFD TAX GAIN - APCO WV SEC REG ASSET</t>
  </si>
  <si>
    <t>DEFD BK LOSS-NON AFF SALE-EMA</t>
  </si>
  <si>
    <t>REG ASSET-DEFD SEVERANCE COSTS</t>
  </si>
  <si>
    <t>REG ASSET-DEFD VA DEMAND RESPONSE PROGRAM</t>
  </si>
  <si>
    <t>REG ASSET DRESDEN OPERATION COST VA</t>
  </si>
  <si>
    <r>
      <t>Source</t>
    </r>
    <r>
      <rPr>
        <u/>
        <vertAlign val="superscript"/>
        <sz val="12"/>
        <rFont val="Arial"/>
        <family val="2"/>
      </rPr>
      <t xml:space="preserve"> 1</t>
    </r>
  </si>
  <si>
    <t>1650031/1650033</t>
  </si>
  <si>
    <t>Work Comp</t>
  </si>
  <si>
    <t>depr_group</t>
  </si>
  <si>
    <t>Use Tax</t>
  </si>
  <si>
    <t>Prepiad OCIP WC</t>
  </si>
  <si>
    <t>1650034 - Prepaid OCIP Work Comp LT</t>
  </si>
  <si>
    <t>Debentures</t>
  </si>
  <si>
    <t>Other LTD</t>
  </si>
  <si>
    <t>CAPD INTEREST - SECTION 481(a) - CHANGE IN METHD</t>
  </si>
  <si>
    <t>RELOCATION COST - SECTION 481(a) - CHANGE IN METH</t>
  </si>
  <si>
    <t>PJM INTEGRATION - SEC 481(a) - INTANG - DFD LABOR</t>
  </si>
  <si>
    <t>BK PLANT IN SERVICE-SFAS 143-ARO</t>
  </si>
  <si>
    <t>GAIN/LOSS ON ACRS/MACRS-BK/TX UNIT PROP</t>
  </si>
  <si>
    <t>TAXES CAPITALIZED</t>
  </si>
  <si>
    <t>PENSIONS CAPITALIZED</t>
  </si>
  <si>
    <t>SAVINGS PLAN CAPITALIZED</t>
  </si>
  <si>
    <t>MARK &amp; SPREAD - DEFL - 283 A/L</t>
  </si>
  <si>
    <t>REG ASSET - DEFERRED RTO COSTS</t>
  </si>
  <si>
    <t>DEFD ENVIRON COMP COSTS &amp; CARRYING CHARGES</t>
  </si>
  <si>
    <t>DEFD EXPS (A/C 186)</t>
  </si>
  <si>
    <t>RATE CASE DEFERRED CHARGES</t>
  </si>
  <si>
    <t>BK DEFL-DEMAND SIDE MNGMT EXP</t>
  </si>
  <si>
    <t>BOOK &gt; TAX - EMA - A/C 283</t>
  </si>
  <si>
    <t>DEFD TX GAIN - INTERCO SALE - EMA</t>
  </si>
  <si>
    <t>REG ASSET-SFAS 143 - ARO</t>
  </si>
  <si>
    <t>REG ASSET-SFAS 158 - PENSIONS</t>
  </si>
  <si>
    <t>REG ASSET-SFAS 158 - SERP</t>
  </si>
  <si>
    <t>REG ASSET-SFAS 158 - OPEB</t>
  </si>
  <si>
    <t>REG ASSET-UNDERRECOVERY-VIRGINIA T-RAC</t>
  </si>
  <si>
    <t>REG ASSET-MOUNTAINEER CARBON CAPTURE</t>
  </si>
  <si>
    <t>REG ASSET-DEFERRED RPS COSTS</t>
  </si>
  <si>
    <t>REG ASSET-CARRYING CHARGES-WV ENEC</t>
  </si>
  <si>
    <t>REG ASSET-WV VMP (VEGETATION MGMT) COSTS</t>
  </si>
  <si>
    <t>REG ASSET-IGCC PRE-CONSTRUCTION COSTS</t>
  </si>
  <si>
    <t>CAPITALIZED SOFTWARE COST - BOOK</t>
  </si>
  <si>
    <t>SFAS 106-MEDICARE SUBSIDY-(PPACA)-REG ASSET</t>
  </si>
  <si>
    <t>ACCUMULATED DEFERRED INCOME TAX IN ACCOUNT 190</t>
  </si>
  <si>
    <t>ACCOUNT 190:</t>
  </si>
  <si>
    <t>NOL &amp; TAX CREDIT C/F - DEF TAX ASSET</t>
  </si>
  <si>
    <t>INT EXP CAPITALIZED FOR TAX</t>
  </si>
  <si>
    <t xml:space="preserve">CIAC-BOOK RECEIPTS </t>
  </si>
  <si>
    <t>CIAC - MUSSER ACQUISITION</t>
  </si>
  <si>
    <t>SW - OVER RECOVERY FUEL COSTS</t>
  </si>
  <si>
    <t>SV - OVER RECOVERY FUEL COSTS</t>
  </si>
  <si>
    <t>PROVS POSS REV REFDS</t>
  </si>
  <si>
    <t>MTM BK LOSS - A/L - TAX DEFL</t>
  </si>
  <si>
    <t>MARK &amp; SPREAD-DEFL-190-A/L</t>
  </si>
  <si>
    <t>ACCRD BK SUP. SAVINGS PLAN EXP</t>
  </si>
  <si>
    <t>EMPLOYER SAVINGS PLAN MATCH</t>
  </si>
  <si>
    <t>ACCRUED PSI PLAN EXP</t>
  </si>
  <si>
    <t>BK PROV UNCOLL ACCTS</t>
  </si>
  <si>
    <t>ACCRD COMPANY INCENT PLAN-ENGAGE TO GAIN</t>
  </si>
  <si>
    <t>ACCRD COMPANYWIDE INCENTV PLAN</t>
  </si>
  <si>
    <t>ACCRUED BOOK VACATION PAY</t>
  </si>
  <si>
    <t>(ICDP)-INCENTIVE COMP DEFERRAL PLAN</t>
  </si>
  <si>
    <t>ACCRUED BK SEVERANCE BENEFITS</t>
  </si>
  <si>
    <t>ACCRUED INTEREST EXPENSE - STATE</t>
  </si>
  <si>
    <t>ACCRUED INTEREST-LONG-TERM - FIN 48</t>
  </si>
  <si>
    <t>ACCRUED INTEREST-SHORT-TERM - FIN 48</t>
  </si>
  <si>
    <t>BK DFL RAIL TRANS REV/EXP</t>
  </si>
  <si>
    <t>ACCRUED RTO CARRYING CHARGES</t>
  </si>
  <si>
    <t>DEFD EQUITY CARRYING CHRGS-ENVIRON COMP COSTS</t>
  </si>
  <si>
    <t>FEDERAL MITIGATION PROGRAMS</t>
  </si>
  <si>
    <t xml:space="preserve">STATE MITIGATION PROGRAMS </t>
  </si>
  <si>
    <t>DEFD REV-EPRI/MNTR CARBON CAPTURE-L/T</t>
  </si>
  <si>
    <t>DEFD BK CONTRACT REVENUE</t>
  </si>
  <si>
    <t>DEFD TX LOSS-INTERCO SALE-EMA</t>
  </si>
  <si>
    <t>ADVANCE RENTAL INC (CUR MO)</t>
  </si>
  <si>
    <t>ACCRD SFAS 106 PST RETIRE EXP</t>
  </si>
  <si>
    <t>SFAS 106 PST RETIRE EXP - NON-DEDUCT CONT</t>
  </si>
  <si>
    <t>ACCRD OPEB COSTS - SFAS 158</t>
  </si>
  <si>
    <t>ACCRUED BK REMOVAL COST - ACRS</t>
  </si>
  <si>
    <t>FIN 48 - DEFD STATE INCOME TAXES</t>
  </si>
  <si>
    <t>ACCRD SIT/FRANCHISE TAX RESERVE</t>
  </si>
  <si>
    <t>ACCRUED SALES &amp; USE TAX RESERVE</t>
  </si>
  <si>
    <t>SFAS 109 - DEFD SIT LIABILITY</t>
  </si>
  <si>
    <t>1985-1987 IRS AUDIT SETTLEMENT</t>
  </si>
  <si>
    <t>1991-1996 IRS AUDIT SETTLEMENT</t>
  </si>
  <si>
    <t>1997-2003 IRS AUDIT SETTLEMENT</t>
  </si>
  <si>
    <t>2007 IRS AUDIT ADJUSTMENTS - A/C 190</t>
  </si>
  <si>
    <t>IRS CAPITALIZATION ADJUSTMENT</t>
  </si>
  <si>
    <t>SFAS 109 FLOW-THRU 190.3</t>
  </si>
  <si>
    <t>ADIT FED - NON-UMWA PRW OCI 1900011</t>
  </si>
  <si>
    <t>ADIT FED - UMWA PRW OCI 1900012</t>
  </si>
  <si>
    <t>ADIT FED - HEDGE-INTEREST RATE 1900015</t>
  </si>
  <si>
    <t>ADIT FED - HEDGE-FOREIGN EXC 1900016</t>
  </si>
  <si>
    <t>NON-UTILITY DEFERRED SIT  1902002</t>
  </si>
  <si>
    <t>TOTAL ACCOUNT 190</t>
  </si>
  <si>
    <t>Work Com-Aff</t>
  </si>
  <si>
    <t>1650031 - Prepaid Workers Comp</t>
  </si>
  <si>
    <t>1650032 - Record workers compensation for contractors</t>
  </si>
  <si>
    <t>1650033 - Record workers compensation current charges</t>
  </si>
  <si>
    <t>Virginia Fuel Filing</t>
  </si>
  <si>
    <t>*Per Company Books and Records interest associated with LTD.</t>
  </si>
  <si>
    <t>REG ASSET-FELMAN PREM/DISC-ENEC-WV</t>
  </si>
  <si>
    <t>REG ASSET-WV AIR QUALITY PERMIT FEES</t>
  </si>
  <si>
    <t>REG ASSET-NBV-ARO-RETIRED PLANTS</t>
  </si>
  <si>
    <t>REG ASSET-EXTRA LOSS-CLINCH RIVER PLANT</t>
  </si>
  <si>
    <t>REG ASSET-EXTRA LOSS-GLEN LYN U5 NET PLANT</t>
  </si>
  <si>
    <t>REG ASSET-EXTRA LOSS-SPORN PLANT</t>
  </si>
  <si>
    <t>REG ASSET-EXTRA LOSS-KANAWHA RIVER PLANT</t>
  </si>
  <si>
    <t>REG ASSET-EXTRA LOSS-GLEN LYN U6 NET PLANT</t>
  </si>
  <si>
    <t>REG ASSET-COAL CO UNCOLL ACCTS</t>
  </si>
  <si>
    <t>REG ASSET-CAR CHGS-WV VMP RESERVE</t>
  </si>
  <si>
    <t>REG ASSET-VA EE-RAC EFFICIENT PRODUCTS</t>
  </si>
  <si>
    <t xml:space="preserve">REG ASSET-VA EE-RAC C&amp;I PRESCRIPTIVE </t>
  </si>
  <si>
    <t xml:space="preserve">REG ASSET-VA EE-RAC MOBILE HOME ES </t>
  </si>
  <si>
    <t>REG ASSET-VA EE-RAC EQUITY MARGIN</t>
  </si>
  <si>
    <t>CIAC - BOOK RECEIPTS-DISTR -SV</t>
  </si>
  <si>
    <t>CIAC - BOOK RECEIPTS-TRANS</t>
  </si>
  <si>
    <t>CIAC - BOOK RECEIPTS-DISTR -SW</t>
  </si>
  <si>
    <t>SALE/LEASEBK-GRUNDY</t>
  </si>
  <si>
    <t>PROV WORKER'S COMP</t>
  </si>
  <si>
    <t>SUPPLEMENTAL EXECUTIVE RETIREMENT PLAN</t>
  </si>
  <si>
    <t>ACCRD SUP EXEC RETIR PLAN COSTS-SFAS 158</t>
  </si>
  <si>
    <t>PROV-TRADING CREDIT RISK - A/L</t>
  </si>
  <si>
    <t>PROV-FAS 157 - A/L</t>
  </si>
  <si>
    <t>ACCRD ENVIRONMENTAL LIAB-CURRENT</t>
  </si>
  <si>
    <t>PROV LOSS-CAR CHG-PURCHASD EMA</t>
  </si>
  <si>
    <t>FK BK WRITE-OFF BLUE RDGE EASE</t>
  </si>
  <si>
    <t>FR BK WRITE-OFF BLUE RDGE EASE</t>
  </si>
  <si>
    <t>SV BK WRITE-OFF BLUE RDGE EASE</t>
  </si>
  <si>
    <t>TAX &gt; BOOK BASIS - EMA-A/C 190</t>
  </si>
  <si>
    <t>DEFD BOOK GAIN-EPA AUCTION</t>
  </si>
  <si>
    <t>REG LIAB-UNREAL MTM GAIN-DEFL</t>
  </si>
  <si>
    <t>SECURITIZATION DEFD EQUITY INCOME - LONG-TERM</t>
  </si>
  <si>
    <t>CAPITALIZED SOFTWARE COSTS-TAX</t>
  </si>
  <si>
    <t>CAPITALIZED ADVERTISING EXP-TX</t>
  </si>
  <si>
    <t>ACCRD SFAS 112 PST EMPLOY BEN</t>
  </si>
  <si>
    <t>ACCRD BOOK ARO EXPENSE - SFAS 143</t>
  </si>
  <si>
    <t>ACCRD BK ARO EXP - MTNR CARBON CAPTURE</t>
  </si>
  <si>
    <t>SFAS 106 - MEDICARE SUBSIDY - NORM - (PPACA)</t>
  </si>
  <si>
    <t>GROSS RECEIPTS- TAX EXPENSE</t>
  </si>
  <si>
    <t>ACCRD SIT TX RESERVE-LNG-TERM-FIN 48</t>
  </si>
  <si>
    <t>ACCRD SIT TX RESERVE-SHRT-TERM-FIN 48</t>
  </si>
  <si>
    <t>AMT CREDIT - DEFERRED</t>
  </si>
  <si>
    <t>FERC 205 Filing</t>
  </si>
  <si>
    <t>FERC 206 Filing</t>
  </si>
  <si>
    <t/>
  </si>
  <si>
    <t xml:space="preserve">PurC </t>
  </si>
  <si>
    <t>NORMALIZED BASIS DIFFS - TRANSFERRED PLANTS</t>
  </si>
  <si>
    <t>BOOK/TAX UNIT OF PROPERTY ADJ: AGR TRANSFER</t>
  </si>
  <si>
    <t>BK/TX UNIT OF PROPERTY ADJ-SEC 481 ADJ: AGR TRANSFER</t>
  </si>
  <si>
    <t>REG ASSET-M&amp;S RETIRING PLANTS</t>
  </si>
  <si>
    <t>REG ASSET-DEFD DEPREC-WV VEG MGT PROG</t>
  </si>
  <si>
    <t>REG ASSET-CAR CHGS-WV VMP-UNREC EQ</t>
  </si>
  <si>
    <t>REG ASSET-WV BASE REVENUES</t>
  </si>
  <si>
    <t>REG ASSET-WV BASE REVENUES-CAR CHGS</t>
  </si>
  <si>
    <t>REG ASSET-WV EE/DR-COMPANY FUNDED</t>
  </si>
  <si>
    <t>REG ASSET-WV PROV SURCREDIT-CONTRA</t>
  </si>
  <si>
    <t>TX ACCEL AMORT - CAPITALIZED SOFTWARE</t>
  </si>
  <si>
    <t>TAX CUTS AND JOBS ACT (TCJA)</t>
  </si>
  <si>
    <t>CV-UNDER RECOVERY FUEL COST</t>
  </si>
  <si>
    <t>STOCK BASED COMP-CAREER SHARES</t>
  </si>
  <si>
    <t>RESTRICTED STOCK PLAN</t>
  </si>
  <si>
    <t>PSI - STOCK BASED COMP</t>
  </si>
  <si>
    <t>PJM FERC</t>
  </si>
  <si>
    <t>Sum of end_bal</t>
  </si>
  <si>
    <t>Function</t>
  </si>
  <si>
    <t>Distribution Plant - Electric</t>
  </si>
  <si>
    <t>General Plant</t>
  </si>
  <si>
    <t>Production Plant</t>
  </si>
  <si>
    <t>Grand Total</t>
  </si>
  <si>
    <t>Balance Sheet</t>
  </si>
  <si>
    <t>FF1 219.29</t>
  </si>
  <si>
    <t>*1110001 General plant includes intangible plant</t>
  </si>
  <si>
    <t>*1080001/1080011 Excludes ARO portion, identified separately</t>
  </si>
  <si>
    <t>(EPT)</t>
  </si>
  <si>
    <t>Prepayments Coal</t>
  </si>
  <si>
    <t>Niagara Hydro Plant : APCo : 0650</t>
  </si>
  <si>
    <t>35200 - Structures and Improvements</t>
  </si>
  <si>
    <t>APCo 101/6 352 GSU</t>
  </si>
  <si>
    <t>John E. Amos Generating Plant Unit 3 : APCo : 0743</t>
  </si>
  <si>
    <t>Clinch River 138KV Substation : APCo : 0771</t>
  </si>
  <si>
    <t>John E. Amos Generating Plant Units 1 &amp; 2 : APCo : 0740</t>
  </si>
  <si>
    <t>Mountaineer Generating Plant : APCo : 0710</t>
  </si>
  <si>
    <t>Dresden Generating Plant : APCo : DRESGP</t>
  </si>
  <si>
    <t>35300 - Station Equipment</t>
  </si>
  <si>
    <t>APCo 101/6 353 Dresden Plant</t>
  </si>
  <si>
    <t>Dresden Plant - Virginia AFUDC : APCo : DRAFUDCVA</t>
  </si>
  <si>
    <t>APCo 101/6 353 Dresden VA AFUDC</t>
  </si>
  <si>
    <t>Marmet Hydro 46KV Substation : APCo : 0511</t>
  </si>
  <si>
    <t>APCo 101/6 353 GSU</t>
  </si>
  <si>
    <t>Byllesby Hydro Plant : APCo : 0630</t>
  </si>
  <si>
    <t>Leesville 138KV Substation : APCo : 0691</t>
  </si>
  <si>
    <t>London Hydro 46KV Substation : APCo : 0521</t>
  </si>
  <si>
    <t>Clinch River Generating Plant : APCo : 0770</t>
  </si>
  <si>
    <t>Claytor 138KV Substation : APCo : 0621</t>
  </si>
  <si>
    <t>John E. Amos Generating Plant Common Facilities for Units 1, 2 &amp; 3 : APCo : 7801</t>
  </si>
  <si>
    <t>Smith Mountain Pumped Storage Hydro Plant : APCo : 0550</t>
  </si>
  <si>
    <t>Winfield Hydro 69KV Substation : APCo : 0531</t>
  </si>
  <si>
    <t>Ceredo Generating Plant : APCo : CERGP</t>
  </si>
  <si>
    <t xml:space="preserve"> FF1, 112,24,c &amp; 112,23,c </t>
  </si>
  <si>
    <t>Line 6</t>
  </si>
  <si>
    <t>Line 9</t>
  </si>
  <si>
    <t>MLR values at PJM 5 CP hours</t>
  </si>
  <si>
    <t>COLUMN D</t>
  </si>
  <si>
    <t>COLUMN F</t>
  </si>
  <si>
    <t>NON-APPLICABLE/NON-UTILITY</t>
  </si>
  <si>
    <t>BOOK/TAX MIXED SERVICE COST ADJ</t>
  </si>
  <si>
    <t>BK/TX MIXED SERVICE COST ADJ-SEC 481 ADJ</t>
  </si>
  <si>
    <t>EXCESS ADFIT</t>
  </si>
  <si>
    <t>PROV FOR RATE REFUND-TAX REFORM</t>
  </si>
  <si>
    <t>PROV FOR RATE REFUND-EXCESS PROTECTED</t>
  </si>
  <si>
    <t>IRS AUDIT SETTLEMENT</t>
  </si>
  <si>
    <t>Exc. ARO</t>
  </si>
  <si>
    <t>Workpaper 16 - GSU Plant and Accumulated Depreciation Balance</t>
  </si>
  <si>
    <t>Transit</t>
  </si>
  <si>
    <t>July</t>
  </si>
  <si>
    <t xml:space="preserve">165001219 - Prepaid Use Taxes </t>
  </si>
  <si>
    <t>165000219 - This account shall include amounts representing prepayments of taxes.</t>
  </si>
  <si>
    <t>Note B:</t>
  </si>
  <si>
    <t>Note B:  Changing PBOP included in the formula rate will require, as applicable, a FPA Section 205 or Section 206 filing.</t>
  </si>
  <si>
    <t>Acct 926 (0021) PBOP Gross Cost</t>
  </si>
  <si>
    <t>Acct 926 (0043) PBOP Medicare Part Subsidy</t>
  </si>
  <si>
    <t>ALLOWANCES</t>
  </si>
  <si>
    <t>apcofrr2019 (password)</t>
  </si>
  <si>
    <t>ACCOUNT 281 - ARO-Related Deferrals</t>
  </si>
  <si>
    <t>TAX DEPRECIATION LOOKBACK</t>
  </si>
  <si>
    <t>BOOK OPERATING LEASE - LIAB</t>
  </si>
  <si>
    <t>ACCOUNT 282 - ARO-Related Deferals</t>
  </si>
  <si>
    <t>ACCOUNT 283 - ARO-Related Deferals</t>
  </si>
  <si>
    <t>BOOK OPERATING LEASE - ASSET</t>
  </si>
  <si>
    <t>ACCOUNT 190 - ARO-Related Deferals</t>
  </si>
  <si>
    <t>Gross Receipts-Audit</t>
  </si>
  <si>
    <t>Labor Related</t>
  </si>
  <si>
    <t>Energy Related</t>
  </si>
  <si>
    <t>Demand Related</t>
  </si>
  <si>
    <t>Excluded</t>
  </si>
  <si>
    <t>FF1, pg. 277</t>
  </si>
  <si>
    <t>FF1, pg. 234</t>
  </si>
  <si>
    <t>FF1, pg. 275</t>
  </si>
  <si>
    <t>FF1, pg. 273</t>
  </si>
  <si>
    <t>FF1, pg. 267</t>
  </si>
  <si>
    <t>EXCLUDES CCE self-supply</t>
  </si>
  <si>
    <t>Inventorty</t>
  </si>
  <si>
    <t>Pending Inspection</t>
  </si>
  <si>
    <t>INSURANCE PREMIUMS ACCRUED</t>
  </si>
  <si>
    <t>282 EXCESS ADJUSTMENT</t>
  </si>
  <si>
    <t>ACCRUED COVID-19 INCREMENTAL COSTS NON-TX</t>
  </si>
  <si>
    <t>REG ASSET-ENERGY EFFICIENCY RECOVERY</t>
  </si>
  <si>
    <t>REG ASSET-GreenHat Settlement</t>
  </si>
  <si>
    <t>REG ASSET-Deferred Carrying Charge Offset</t>
  </si>
  <si>
    <t>REG ASSET-Depr Exp Deferral - VA</t>
  </si>
  <si>
    <t>REG ASSET-Glen Lyn ARO</t>
  </si>
  <si>
    <t>REG ASSET-Va Retired Coal Plants-Unamort</t>
  </si>
  <si>
    <t xml:space="preserve">REG ASSET-VA Major Storm Exp Def  </t>
  </si>
  <si>
    <t>REG ASSET-VA EE RAC C&amp;I LIGHTING</t>
  </si>
  <si>
    <t>BOOK LEASES DEFERRED</t>
  </si>
  <si>
    <t>BK ACCRL- COOK CT RENT HOLIDAY</t>
  </si>
  <si>
    <t>FICA - NON-CUURENT</t>
  </si>
  <si>
    <t>WV IRP</t>
  </si>
  <si>
    <t>351, Col(h)</t>
  </si>
  <si>
    <t>Appalachian Power - Gen</t>
  </si>
  <si>
    <t>NOL ADJUSTMENT</t>
  </si>
  <si>
    <t>NOL CONTRA</t>
  </si>
  <si>
    <t>Accum Defd Property FIT - TBBS 282.6</t>
  </si>
  <si>
    <t>O/U RECOVERY SECURITIZATION REVENUE</t>
  </si>
  <si>
    <t>REG ASSET-FERC Formula Rates Under Recvr</t>
  </si>
  <si>
    <t>REG ASSET-VA CCR EXP DEFERRAL</t>
  </si>
  <si>
    <t>REG ASSET-VA RGGI Deferral</t>
  </si>
  <si>
    <t>REG ASSET-WV CCR/ELG AFUDC Deferral</t>
  </si>
  <si>
    <t>REG ASSET-LSE Formula Rate Defer-Dep</t>
  </si>
  <si>
    <t>REG ASSET-APCo Va E-RAC Def AFUDC</t>
  </si>
  <si>
    <t>REG ASSET-VA E-RAC Under-Recovery</t>
  </si>
  <si>
    <t>REG ASSET-VA Dist Substation Dep Def</t>
  </si>
  <si>
    <t>REG ASSET-VA Dist Substation CC Def</t>
  </si>
  <si>
    <t>REG ASSET-VA Dist Substation Eqty CC Def</t>
  </si>
  <si>
    <t>REG ASSET-VCEA Virginia RPS Under-Recov</t>
  </si>
  <si>
    <t>REG ASSET-WV MRBC Surcharge Under Recov</t>
  </si>
  <si>
    <t>EXCESS DSIT - UNPROTECTED WV</t>
  </si>
  <si>
    <t>283-ACCUM DEFD FEDERAL TBBS ADJ</t>
  </si>
  <si>
    <t>283-ACCUM DEFD STATE TBBS ADJ</t>
  </si>
  <si>
    <t>Accum Deferred SIT - Excess</t>
  </si>
  <si>
    <t>Accum Defd Other FIT-TBBS</t>
  </si>
  <si>
    <t>Accum Deferred SIT-TBBS</t>
  </si>
  <si>
    <t>NOL - DEFERRED TAX ASSET RECLASS</t>
  </si>
  <si>
    <t>SFAS 109 EXCESS DFIT 190.4001</t>
  </si>
  <si>
    <t>Accum Deferred SIT - Excess 190.4002</t>
  </si>
  <si>
    <t>Accum Deferred FIT-TBBS 190.6001</t>
  </si>
  <si>
    <t>Accum Deferred SIT-TBBS 190.6002</t>
  </si>
  <si>
    <t>550</t>
  </si>
  <si>
    <t>W Va Broadband</t>
  </si>
  <si>
    <t>WV ENEC</t>
  </si>
  <si>
    <t>VA Blue Ridge Peitition Filing</t>
  </si>
  <si>
    <t>VA Clean Economy Act Filing</t>
  </si>
  <si>
    <t>VA Triennial</t>
  </si>
  <si>
    <t>VA RAC Filing</t>
  </si>
  <si>
    <t>State Commission Fees</t>
  </si>
  <si>
    <t>327, k</t>
  </si>
  <si>
    <t>327,  l</t>
  </si>
  <si>
    <t>327,n</t>
  </si>
  <si>
    <t xml:space="preserve"> 257, col. (i) </t>
  </si>
  <si>
    <t>For the Year Ended December 31, 2022</t>
  </si>
  <si>
    <t>205.5.g, 207.98.g</t>
  </si>
  <si>
    <t>PERIOD ENDED DECEMBER 31, 2022</t>
  </si>
  <si>
    <t>FERC FORMULA RATES-UNDER-RECOVERY</t>
  </si>
  <si>
    <t>North Carolina Income Tax Rate</t>
  </si>
  <si>
    <t>Effective State Tax Rate</t>
  </si>
  <si>
    <t>Kentucky Income Tax Rate</t>
  </si>
  <si>
    <t>Total Hedge Gain or Loss for 2022</t>
  </si>
  <si>
    <t>Virginia Broadband</t>
  </si>
  <si>
    <t>VA IRP</t>
  </si>
  <si>
    <t>VA Transmission RAC Filing</t>
  </si>
  <si>
    <t>WV Regulatory and Legislative Activities</t>
  </si>
  <si>
    <t>VA EE RAC</t>
  </si>
  <si>
    <t>Misc Exp</t>
  </si>
  <si>
    <t>WV Coal Combusition Filing</t>
  </si>
  <si>
    <t>M&amp;S Long Lead Time</t>
  </si>
  <si>
    <t>Material/Eq</t>
  </si>
  <si>
    <t>Development of Composite State Income Tax Rates for 2022 (Note 1)</t>
  </si>
  <si>
    <t>1110001/1110007</t>
  </si>
  <si>
    <t>Balance Sheet 1110001/1110007</t>
  </si>
  <si>
    <t>Balances as of December 31, 2023</t>
  </si>
  <si>
    <t>For the Year Ended December 31, 2023</t>
  </si>
  <si>
    <t>165000223/165000223</t>
  </si>
  <si>
    <t>Prepaid Regulatory Fees</t>
  </si>
  <si>
    <t>1650041 - Prepaid Regulatory Fees</t>
  </si>
  <si>
    <t>1650044 - Prepaid Coal</t>
  </si>
  <si>
    <t>12 Months December 31, 2023 Plant In Service (excluding ARO)</t>
  </si>
  <si>
    <t>For the Year Ending December 31, 2023</t>
  </si>
  <si>
    <t>FUNCTIONALIZATION 12/31/2023</t>
  </si>
  <si>
    <t>PERIOD ENDED DECEMBER 31, 2023</t>
  </si>
  <si>
    <t>Balance as of December 2023</t>
  </si>
  <si>
    <t>M&amp;S December 2023</t>
  </si>
  <si>
    <t>WV POLLUTION CONTROL ADJUSTMENT</t>
  </si>
  <si>
    <t>IGCC REVENUES</t>
  </si>
  <si>
    <t>LITIGATION ACCRUAL</t>
  </si>
  <si>
    <t>Accrued Regulatory Fees</t>
  </si>
  <si>
    <t>DSIT-AMOS U3/MITCHELL PLANT TRSF - VA</t>
  </si>
  <si>
    <t>NOL-STATE C/F-DEF TAX ASSET-L/T - TN</t>
  </si>
  <si>
    <t>September</t>
  </si>
  <si>
    <t>REG ASSET-Under-rec Fuel Cost-ENEC-LT</t>
  </si>
  <si>
    <t>REG ASSET-Prepayment- Deferred Coal</t>
  </si>
  <si>
    <t>REG ASSET-SO2 Allowance Inv - Recovery</t>
  </si>
  <si>
    <t>REG ASSET- WV BRSP AFUDC Deferral</t>
  </si>
  <si>
    <t xml:space="preserve">WV                </t>
  </si>
  <si>
    <t>12/2023</t>
  </si>
  <si>
    <t xml:space="preserve">VA                </t>
  </si>
  <si>
    <t xml:space="preserve">OH                </t>
  </si>
  <si>
    <t>Virginia GRAC</t>
  </si>
  <si>
    <t>Virginia Transportation Electrification Filing</t>
  </si>
  <si>
    <t>Virginia Biennial Filing</t>
  </si>
  <si>
    <t>WV Base</t>
  </si>
  <si>
    <t>pg. 263, ln. 156 (I)</t>
  </si>
  <si>
    <t>pg. 263, ln. 157 (I)</t>
  </si>
  <si>
    <t>pg. 263, ln. 21 (I)</t>
  </si>
  <si>
    <t>pg. 263, ln. 22 (I)</t>
  </si>
  <si>
    <t>pg. 263, ln. 38 (I)</t>
  </si>
  <si>
    <t>pg. 263, ln. 23 (I)</t>
  </si>
  <si>
    <t>pg. 263, ln. 24 (I)</t>
  </si>
  <si>
    <t>pg. 263, ln. 39 (I)</t>
  </si>
  <si>
    <t>pg. 263, ln. 25 (I)</t>
  </si>
  <si>
    <t>pg. 263, ln. 17 (I)</t>
  </si>
  <si>
    <t>pg. 263, ln. 35 (I)</t>
  </si>
  <si>
    <t>pg. 263, ln. 18 (I)</t>
  </si>
  <si>
    <t>pg. 263, ln. 19 (I)</t>
  </si>
  <si>
    <t>pg. 263, ln. 36 (I)</t>
  </si>
  <si>
    <t>pg. 263, ln. 20 (I)</t>
  </si>
  <si>
    <t>pg. 263, ln. 37 (I)</t>
  </si>
  <si>
    <t>pg. 263, ln. 33 (I)</t>
  </si>
  <si>
    <t>pg. 263, ln. 34 (I)</t>
  </si>
  <si>
    <t>pg. 263, ln. 30 (I)</t>
  </si>
  <si>
    <t>pg. 263, ln. 31 (I)</t>
  </si>
  <si>
    <t>pg. 263, ln. 15 (I)</t>
  </si>
  <si>
    <t>pg. 263, ln. 16 (I)</t>
  </si>
  <si>
    <t>pg. 263, ln. 113 (I)</t>
  </si>
  <si>
    <t>pg. 263, ln. 47 (I)</t>
  </si>
  <si>
    <t>pg. 263, ln. 48 (I)</t>
  </si>
  <si>
    <t>pg. 263, ln. 49 (I)</t>
  </si>
  <si>
    <t>pg. 263, ln. 50 (I)</t>
  </si>
  <si>
    <t>pg. 263, ln. 51 (I)</t>
  </si>
  <si>
    <t>pg. 263, ln. 52 (I)</t>
  </si>
  <si>
    <t>pg. 263, ln. 53 (I)</t>
  </si>
  <si>
    <t>pg. 263, ln. 8 (I)</t>
  </si>
  <si>
    <t>pg. 263, ln. 158 (I)</t>
  </si>
  <si>
    <t>pg. 263, ln. 159 (I)</t>
  </si>
  <si>
    <t>pg. 263, ln. 160 (I)</t>
  </si>
  <si>
    <t>pg. 263, ln. 122 (I)</t>
  </si>
  <si>
    <t>pg. 263, ln. 123 (I)</t>
  </si>
  <si>
    <t>pg. 263, ln. 130 (I)</t>
  </si>
  <si>
    <t>pg. 263, ln. 131 (I)</t>
  </si>
  <si>
    <t>pg. 263, ln. 162 (I)</t>
  </si>
  <si>
    <t>pg. 263, ln. 163 (I)</t>
  </si>
  <si>
    <t>pg. 263, ln. 164 (I)</t>
  </si>
  <si>
    <t>pg. 263, ln. 165 (I)</t>
  </si>
  <si>
    <t>pg. 263, ln. 166 (I)</t>
  </si>
  <si>
    <t>pg. 263, ln. 151 (I)</t>
  </si>
  <si>
    <t>pg. 263, ln. 56 (I)</t>
  </si>
  <si>
    <t>pg. 263, ln. 57 (I)</t>
  </si>
  <si>
    <t>pg. 263, ln. 58 (I)</t>
  </si>
  <si>
    <t>pg. 263, ln. 61 (I)</t>
  </si>
  <si>
    <t>pg. 263, ln. 63 (I)</t>
  </si>
  <si>
    <t>pg. 263, ln. 64 (I)</t>
  </si>
  <si>
    <t>pg. 263, ln. 109 (I)</t>
  </si>
  <si>
    <t>Senior Unsecured Notes - Series I</t>
  </si>
  <si>
    <t>Senior Unsecured Notes - Series K</t>
  </si>
  <si>
    <t>Senior Unsecured Notes - Series L</t>
  </si>
  <si>
    <t>Senior Unsecured Notes - Series H</t>
  </si>
  <si>
    <t>Senior Unsecured Notes - Series N</t>
  </si>
  <si>
    <t>Senior Unsecured Notes - Series Q</t>
  </si>
  <si>
    <t>Senior Unsecured Notes - Series S</t>
  </si>
  <si>
    <t>Senior Unsecured Notes - Series T</t>
  </si>
  <si>
    <t>Senior Unsecured Notes - Series 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</si>
</sst>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0_);\(#,##0.00000\)"/>
    <numFmt numFmtId="165" formatCode="0.000%"/>
    <numFmt numFmtId="166" formatCode="_(* #,##0_);_(* \(#,##0\);_(* &quot;-&quot;??_);_(@_)"/>
    <numFmt numFmtId="167" formatCode="General_)"/>
    <numFmt numFmtId="168" formatCode="mmm\-yy_)"/>
    <numFmt numFmtId="169" formatCode="#,##0.0000000000_);\(#,##0.0000000000\)"/>
    <numFmt numFmtId="170" formatCode="0_);\(0\)"/>
    <numFmt numFmtId="171" formatCode="#,##0.0_);\(#,##0.0\)"/>
    <numFmt numFmtId="172" formatCode="0_);[Red]\(0\)"/>
    <numFmt numFmtId="173" formatCode="m/d/yy;@"/>
    <numFmt numFmtId="174" formatCode="0.0"/>
    <numFmt numFmtId="175" formatCode="[$-409]mmm\-yy;@"/>
    <numFmt numFmtId="176" formatCode="&quot;$&quot;#,##0.00"/>
    <numFmt numFmtId="177" formatCode="_(* #,##0.0000_);_(* \(#,##0.0000\);_(* &quot;-&quot;_);_(@_)"/>
    <numFmt numFmtId="178" formatCode="0.0000%"/>
    <numFmt numFmtId="179" formatCode="_(* #,##0.0_);_(* \(#,##0.0\);_(* &quot;-&quot;??_);_(@_)"/>
    <numFmt numFmtId="180" formatCode="0;[Red]0"/>
    <numFmt numFmtId="181" formatCode="#,##0\ ;\(#,##0\)"/>
    <numFmt numFmtId="182" formatCode="_(* #,##0.00_);_(* \(#,##0.00\);_(* &quot;-&quot;_);_(@_)"/>
  </numFmts>
  <fonts count="55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u/>
      <sz val="10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8"/>
      <color indexed="12"/>
      <name val="Tahoma"/>
      <family val="2"/>
    </font>
    <font>
      <sz val="10"/>
      <color indexed="6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2"/>
      <name val="Arial MT"/>
    </font>
    <font>
      <u/>
      <vertAlign val="superscript"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9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i/>
      <vertAlign val="superscript"/>
      <sz val="9"/>
      <name val="Arial"/>
      <family val="2"/>
    </font>
    <font>
      <sz val="10"/>
      <name val="Helv"/>
    </font>
    <font>
      <sz val="10"/>
      <name val="Times New Roman"/>
      <family val="1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i/>
      <vertAlign val="superscript"/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u/>
      <sz val="14"/>
      <name val="Helv"/>
    </font>
    <font>
      <sz val="14"/>
      <name val="Helv"/>
    </font>
    <font>
      <sz val="14"/>
      <color indexed="12"/>
      <name val="Helv"/>
    </font>
    <font>
      <strike/>
      <sz val="14"/>
      <color indexed="10"/>
      <name val="Helv"/>
    </font>
    <font>
      <b/>
      <sz val="14"/>
      <name val="Helv"/>
    </font>
    <font>
      <u/>
      <sz val="14"/>
      <name val="Arial"/>
      <family val="2"/>
    </font>
    <font>
      <sz val="11"/>
      <name val="Arial"/>
      <family val="2"/>
    </font>
    <font>
      <i/>
      <sz val="12"/>
      <name val="Arial"/>
      <family val="2"/>
    </font>
    <font>
      <i/>
      <vertAlign val="superscript"/>
      <sz val="12"/>
      <name val="Arial"/>
      <family val="2"/>
    </font>
    <font>
      <u/>
      <vertAlign val="superscript"/>
      <sz val="6"/>
      <name val="Arial"/>
      <family val="2"/>
    </font>
    <font>
      <sz val="14"/>
      <color indexed="12"/>
      <name val="Arial"/>
      <family val="2"/>
    </font>
    <font>
      <vertAlign val="superscript"/>
      <sz val="6"/>
      <name val="Arial"/>
      <family val="2"/>
    </font>
    <font>
      <sz val="10"/>
      <color rgb="FFFF0000"/>
      <name val="Arial"/>
      <family val="2"/>
    </font>
    <font>
      <sz val="12"/>
      <color rgb="FF0070C0"/>
      <name val="Arial"/>
      <family val="2"/>
    </font>
    <font>
      <u/>
      <sz val="12"/>
      <name val="Arial"/>
      <family val="2"/>
    </font>
    <font>
      <u/>
      <vertAlign val="superscript"/>
      <sz val="12"/>
      <name val="Arial"/>
      <family val="2"/>
    </font>
    <font>
      <sz val="10"/>
      <color rgb="FF0066FF"/>
      <name val="Arial"/>
      <family val="2"/>
    </font>
    <font>
      <sz val="9"/>
      <color indexed="81"/>
      <name val="Tahoma"/>
      <family val="2"/>
    </font>
    <font>
      <sz val="11"/>
      <color rgb="FF1F497D"/>
      <name val="Calibri"/>
      <family val="2"/>
    </font>
    <font>
      <b/>
      <sz val="9"/>
      <color indexed="8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33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37" fontId="3" fillId="0" borderId="0"/>
    <xf numFmtId="167" fontId="3" fillId="0" borderId="0"/>
    <xf numFmtId="0" fontId="1" fillId="0" borderId="0"/>
    <xf numFmtId="37" fontId="3" fillId="0" borderId="0"/>
    <xf numFmtId="0" fontId="1" fillId="0" borderId="0"/>
    <xf numFmtId="167" fontId="3" fillId="0" borderId="0"/>
    <xf numFmtId="37" fontId="3" fillId="0" borderId="0"/>
    <xf numFmtId="176" fontId="17" fillId="0" borderId="0" applyProtection="0"/>
    <xf numFmtId="0" fontId="24" fillId="0" borderId="0"/>
    <xf numFmtId="0" fontId="1" fillId="0" borderId="0"/>
    <xf numFmtId="0" fontId="1" fillId="0" borderId="0"/>
    <xf numFmtId="167" fontId="3" fillId="0" borderId="0"/>
    <xf numFmtId="167" fontId="3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3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798">
    <xf numFmtId="0" fontId="0" fillId="0" borderId="0" xfId="0"/>
    <xf numFmtId="0" fontId="0" fillId="0" borderId="0" xfId="0" applyFill="1"/>
    <xf numFmtId="37" fontId="0" fillId="0" borderId="0" xfId="0" applyNumberFormat="1" applyFill="1" applyBorder="1"/>
    <xf numFmtId="37" fontId="6" fillId="0" borderId="0" xfId="0" applyNumberFormat="1" applyFont="1" applyFill="1"/>
    <xf numFmtId="37" fontId="0" fillId="0" borderId="1" xfId="0" applyNumberFormat="1" applyFill="1" applyBorder="1"/>
    <xf numFmtId="37" fontId="6" fillId="0" borderId="1" xfId="0" applyNumberFormat="1" applyFont="1" applyFill="1" applyBorder="1"/>
    <xf numFmtId="37" fontId="0" fillId="0" borderId="0" xfId="0" applyNumberFormat="1" applyFill="1"/>
    <xf numFmtId="0" fontId="4" fillId="0" borderId="0" xfId="0" applyFont="1" applyFill="1"/>
    <xf numFmtId="0" fontId="4" fillId="0" borderId="0" xfId="0" applyFont="1" applyFill="1" applyAlignment="1" applyProtection="1">
      <alignment horizontal="left"/>
    </xf>
    <xf numFmtId="0" fontId="4" fillId="0" borderId="0" xfId="0" applyFont="1" applyFill="1" applyAlignment="1">
      <alignment horizontal="center"/>
    </xf>
    <xf numFmtId="37" fontId="4" fillId="0" borderId="0" xfId="0" applyNumberFormat="1" applyFont="1" applyFill="1" applyProtection="1"/>
    <xf numFmtId="37" fontId="5" fillId="0" borderId="0" xfId="0" applyNumberFormat="1" applyFont="1" applyFill="1"/>
    <xf numFmtId="37" fontId="5" fillId="0" borderId="0" xfId="0" applyNumberFormat="1" applyFont="1" applyFill="1" applyProtection="1">
      <protection locked="0"/>
    </xf>
    <xf numFmtId="37" fontId="4" fillId="0" borderId="0" xfId="0" applyNumberFormat="1" applyFont="1" applyFill="1"/>
    <xf numFmtId="37" fontId="4" fillId="0" borderId="0" xfId="0" applyNumberFormat="1" applyFont="1" applyFill="1" applyProtection="1">
      <protection locked="0"/>
    </xf>
    <xf numFmtId="37" fontId="5" fillId="0" borderId="0" xfId="0" applyNumberFormat="1" applyFont="1" applyFill="1" applyBorder="1"/>
    <xf numFmtId="37" fontId="4" fillId="0" borderId="0" xfId="0" applyNumberFormat="1" applyFont="1" applyFill="1" applyBorder="1"/>
    <xf numFmtId="37" fontId="5" fillId="0" borderId="0" xfId="0" applyNumberFormat="1" applyFont="1" applyFill="1" applyBorder="1" applyProtection="1">
      <protection locked="0"/>
    </xf>
    <xf numFmtId="0" fontId="7" fillId="0" borderId="0" xfId="0" applyFont="1" applyFill="1" applyAlignment="1">
      <alignment horizontal="center"/>
    </xf>
    <xf numFmtId="0" fontId="4" fillId="0" borderId="0" xfId="0" applyNumberFormat="1" applyFont="1" applyFill="1" applyAlignment="1" applyProtection="1">
      <alignment horizontal="left"/>
      <protection locked="0"/>
    </xf>
    <xf numFmtId="37" fontId="4" fillId="0" borderId="0" xfId="0" applyNumberFormat="1" applyFont="1" applyFill="1" applyBorder="1" applyProtection="1">
      <protection locked="0"/>
    </xf>
    <xf numFmtId="0" fontId="4" fillId="0" borderId="0" xfId="0" applyFont="1" applyFill="1" applyBorder="1"/>
    <xf numFmtId="37" fontId="4" fillId="0" borderId="1" xfId="0" applyNumberFormat="1" applyFont="1" applyFill="1" applyBorder="1"/>
    <xf numFmtId="37" fontId="4" fillId="0" borderId="0" xfId="5" applyFont="1" applyFill="1" applyBorder="1"/>
    <xf numFmtId="37" fontId="4" fillId="0" borderId="0" xfId="5" applyFont="1" applyFill="1"/>
    <xf numFmtId="37" fontId="5" fillId="0" borderId="0" xfId="5" applyFont="1" applyFill="1" applyBorder="1"/>
    <xf numFmtId="37" fontId="10" fillId="0" borderId="0" xfId="5" applyFont="1" applyFill="1"/>
    <xf numFmtId="37" fontId="4" fillId="0" borderId="0" xfId="0" applyNumberFormat="1" applyFont="1" applyFill="1" applyAlignment="1">
      <alignment horizontal="center"/>
    </xf>
    <xf numFmtId="17" fontId="4" fillId="0" borderId="0" xfId="6" quotePrefix="1" applyNumberFormat="1" applyFont="1" applyFill="1" applyAlignment="1" applyProtection="1">
      <alignment horizontal="left"/>
    </xf>
    <xf numFmtId="41" fontId="1" fillId="0" borderId="0" xfId="14" applyNumberFormat="1" applyFill="1"/>
    <xf numFmtId="0" fontId="1" fillId="0" borderId="0" xfId="14" applyFill="1"/>
    <xf numFmtId="37" fontId="4" fillId="0" borderId="0" xfId="1" applyNumberFormat="1" applyFont="1" applyFill="1"/>
    <xf numFmtId="38" fontId="4" fillId="0" borderId="0" xfId="1" applyNumberFormat="1" applyFont="1" applyFill="1"/>
    <xf numFmtId="38" fontId="1" fillId="0" borderId="0" xfId="0" applyNumberFormat="1" applyFont="1" applyFill="1" applyAlignment="1">
      <alignment horizontal="left"/>
    </xf>
    <xf numFmtId="37" fontId="5" fillId="0" borderId="0" xfId="5" applyFont="1" applyFill="1"/>
    <xf numFmtId="39" fontId="4" fillId="0" borderId="0" xfId="0" applyNumberFormat="1" applyFont="1" applyFill="1"/>
    <xf numFmtId="175" fontId="4" fillId="0" borderId="0" xfId="0" applyNumberFormat="1" applyFont="1" applyFill="1"/>
    <xf numFmtId="166" fontId="4" fillId="0" borderId="0" xfId="1" applyNumberFormat="1" applyFont="1" applyFill="1"/>
    <xf numFmtId="166" fontId="5" fillId="0" borderId="0" xfId="1" applyNumberFormat="1" applyFont="1" applyFill="1"/>
    <xf numFmtId="166" fontId="4" fillId="0" borderId="0" xfId="0" applyNumberFormat="1" applyFont="1" applyFill="1"/>
    <xf numFmtId="0" fontId="4" fillId="0" borderId="0" xfId="0" applyNumberFormat="1" applyFont="1" applyFill="1" applyAlignment="1">
      <alignment horizontal="center"/>
    </xf>
    <xf numFmtId="37" fontId="5" fillId="0" borderId="0" xfId="0" applyNumberFormat="1" applyFont="1" applyFill="1" applyProtection="1"/>
    <xf numFmtId="37" fontId="5" fillId="0" borderId="0" xfId="0" applyNumberFormat="1" applyFont="1" applyFill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4" fillId="0" borderId="0" xfId="0" applyFont="1" applyFill="1" applyBorder="1" applyAlignment="1">
      <alignment horizontal="center"/>
    </xf>
    <xf numFmtId="167" fontId="4" fillId="0" borderId="0" xfId="6" applyFont="1" applyFill="1"/>
    <xf numFmtId="167" fontId="4" fillId="0" borderId="2" xfId="6" applyFont="1" applyFill="1" applyBorder="1" applyAlignment="1" applyProtection="1">
      <alignment horizontal="center"/>
    </xf>
    <xf numFmtId="37" fontId="5" fillId="0" borderId="3" xfId="6" applyNumberFormat="1" applyFont="1" applyFill="1" applyBorder="1" applyProtection="1">
      <protection locked="0"/>
    </xf>
    <xf numFmtId="37" fontId="4" fillId="0" borderId="0" xfId="6" applyNumberFormat="1" applyFont="1" applyFill="1" applyProtection="1"/>
    <xf numFmtId="37" fontId="4" fillId="0" borderId="4" xfId="6" applyNumberFormat="1" applyFont="1" applyFill="1" applyBorder="1" applyProtection="1"/>
    <xf numFmtId="166" fontId="4" fillId="0" borderId="4" xfId="1" applyNumberFormat="1" applyFont="1" applyFill="1" applyBorder="1"/>
    <xf numFmtId="167" fontId="4" fillId="0" borderId="0" xfId="6" applyFont="1" applyFill="1" applyBorder="1"/>
    <xf numFmtId="166" fontId="4" fillId="0" borderId="5" xfId="1" applyNumberFormat="1" applyFont="1" applyFill="1" applyBorder="1"/>
    <xf numFmtId="167" fontId="4" fillId="0" borderId="6" xfId="6" applyFont="1" applyFill="1" applyBorder="1"/>
    <xf numFmtId="166" fontId="4" fillId="0" borderId="0" xfId="1" applyNumberFormat="1" applyFont="1" applyFill="1" applyBorder="1"/>
    <xf numFmtId="166" fontId="5" fillId="0" borderId="3" xfId="1" applyNumberFormat="1" applyFont="1" applyFill="1" applyBorder="1"/>
    <xf numFmtId="43" fontId="5" fillId="0" borderId="3" xfId="1" applyFont="1" applyFill="1" applyBorder="1"/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37" fontId="5" fillId="0" borderId="0" xfId="1" applyNumberFormat="1" applyFont="1" applyFill="1" applyBorder="1"/>
    <xf numFmtId="37" fontId="4" fillId="0" borderId="0" xfId="15" applyNumberFormat="1" applyFont="1" applyFill="1" applyBorder="1" applyProtection="1"/>
    <xf numFmtId="37" fontId="8" fillId="0" borderId="0" xfId="15" applyNumberFormat="1" applyFont="1" applyFill="1" applyBorder="1" applyProtection="1"/>
    <xf numFmtId="40" fontId="1" fillId="0" borderId="0" xfId="0" applyNumberFormat="1" applyFont="1" applyFill="1"/>
    <xf numFmtId="0" fontId="4" fillId="0" borderId="0" xfId="0" quotePrefix="1" applyFont="1" applyFill="1" applyAlignment="1">
      <alignment horizontal="left"/>
    </xf>
    <xf numFmtId="167" fontId="4" fillId="0" borderId="0" xfId="10" applyFont="1" applyFill="1" applyAlignment="1" applyProtection="1">
      <alignment horizontal="center"/>
    </xf>
    <xf numFmtId="167" fontId="4" fillId="0" borderId="0" xfId="10" applyFont="1" applyFill="1"/>
    <xf numFmtId="167" fontId="7" fillId="0" borderId="0" xfId="10" applyFont="1" applyFill="1" applyAlignment="1" applyProtection="1">
      <alignment horizontal="center"/>
    </xf>
    <xf numFmtId="37" fontId="4" fillId="0" borderId="0" xfId="10" applyNumberFormat="1" applyFont="1" applyFill="1" applyAlignment="1" applyProtection="1">
      <alignment horizontal="center"/>
    </xf>
    <xf numFmtId="0" fontId="12" fillId="0" borderId="0" xfId="0" quotePrefix="1" applyNumberFormat="1" applyFont="1" applyFill="1" applyAlignment="1">
      <alignment horizontal="center"/>
    </xf>
    <xf numFmtId="43" fontId="12" fillId="0" borderId="0" xfId="0" quotePrefix="1" applyNumberFormat="1" applyFont="1" applyFill="1" applyAlignment="1">
      <alignment horizontal="center"/>
    </xf>
    <xf numFmtId="37" fontId="5" fillId="0" borderId="0" xfId="10" applyNumberFormat="1" applyFont="1" applyFill="1" applyAlignment="1" applyProtection="1">
      <alignment horizontal="center"/>
    </xf>
    <xf numFmtId="167" fontId="4" fillId="0" borderId="0" xfId="10" applyFont="1" applyFill="1" applyAlignment="1" applyProtection="1">
      <alignment horizontal="left"/>
    </xf>
    <xf numFmtId="37" fontId="4" fillId="0" borderId="0" xfId="0" applyNumberFormat="1" applyFont="1" applyFill="1" applyAlignment="1">
      <alignment horizontal="centerContinuous"/>
    </xf>
    <xf numFmtId="0" fontId="4" fillId="0" borderId="6" xfId="0" applyFont="1" applyFill="1" applyBorder="1"/>
    <xf numFmtId="0" fontId="4" fillId="0" borderId="7" xfId="0" applyFont="1" applyFill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center"/>
    </xf>
    <xf numFmtId="0" fontId="7" fillId="0" borderId="0" xfId="0" applyFont="1" applyFill="1" applyAlignment="1" applyProtection="1">
      <alignment horizontal="left"/>
    </xf>
    <xf numFmtId="0" fontId="4" fillId="0" borderId="4" xfId="0" applyFont="1" applyFill="1" applyBorder="1" applyAlignment="1" applyProtection="1">
      <alignment horizontal="center"/>
    </xf>
    <xf numFmtId="37" fontId="5" fillId="0" borderId="0" xfId="15" applyNumberFormat="1" applyFont="1" applyFill="1" applyProtection="1">
      <protection locked="0"/>
    </xf>
    <xf numFmtId="167" fontId="4" fillId="0" borderId="0" xfId="17" applyFont="1" applyFill="1" applyAlignment="1">
      <alignment horizontal="centerContinuous"/>
    </xf>
    <xf numFmtId="167" fontId="10" fillId="0" borderId="0" xfId="17" applyFont="1" applyFill="1" applyAlignment="1">
      <alignment horizontal="centerContinuous"/>
    </xf>
    <xf numFmtId="167" fontId="5" fillId="0" borderId="8" xfId="6" applyFont="1" applyFill="1" applyBorder="1" applyAlignment="1">
      <alignment horizontal="center"/>
    </xf>
    <xf numFmtId="167" fontId="5" fillId="0" borderId="8" xfId="6" applyFont="1" applyFill="1" applyBorder="1"/>
    <xf numFmtId="37" fontId="5" fillId="0" borderId="1" xfId="0" applyNumberFormat="1" applyFont="1" applyFill="1" applyBorder="1" applyProtection="1"/>
    <xf numFmtId="37" fontId="10" fillId="0" borderId="0" xfId="0" applyNumberFormat="1" applyFont="1" applyFill="1" applyProtection="1"/>
    <xf numFmtId="0" fontId="6" fillId="0" borderId="0" xfId="0" applyFont="1" applyFill="1"/>
    <xf numFmtId="0" fontId="1" fillId="0" borderId="0" xfId="14" applyFont="1" applyFill="1"/>
    <xf numFmtId="41" fontId="1" fillId="0" borderId="1" xfId="14" applyNumberFormat="1" applyFill="1" applyBorder="1"/>
    <xf numFmtId="41" fontId="1" fillId="0" borderId="9" xfId="14" applyNumberFormat="1" applyFill="1" applyBorder="1"/>
    <xf numFmtId="41" fontId="1" fillId="0" borderId="0" xfId="14" applyNumberFormat="1" applyFill="1" applyBorder="1"/>
    <xf numFmtId="0" fontId="1" fillId="0" borderId="0" xfId="14" applyFill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right"/>
    </xf>
    <xf numFmtId="37" fontId="5" fillId="0" borderId="1" xfId="0" applyNumberFormat="1" applyFont="1" applyFill="1" applyBorder="1" applyAlignment="1">
      <alignment horizontal="right"/>
    </xf>
    <xf numFmtId="37" fontId="4" fillId="0" borderId="0" xfId="11" applyFont="1" applyFill="1"/>
    <xf numFmtId="165" fontId="4" fillId="0" borderId="0" xfId="19" applyNumberFormat="1" applyFont="1" applyFill="1"/>
    <xf numFmtId="6" fontId="0" fillId="0" borderId="0" xfId="0" applyNumberFormat="1" applyFill="1"/>
    <xf numFmtId="169" fontId="0" fillId="0" borderId="0" xfId="0" applyNumberFormat="1" applyFill="1"/>
    <xf numFmtId="0" fontId="4" fillId="0" borderId="0" xfId="15" applyFont="1" applyFill="1" applyBorder="1"/>
    <xf numFmtId="0" fontId="10" fillId="0" borderId="0" xfId="0" applyFont="1" applyFill="1"/>
    <xf numFmtId="37" fontId="5" fillId="0" borderId="1" xfId="16" applyNumberFormat="1" applyFont="1" applyFill="1" applyBorder="1" applyAlignment="1" applyProtection="1">
      <alignment horizontal="center"/>
      <protection locked="0"/>
    </xf>
    <xf numFmtId="37" fontId="4" fillId="0" borderId="1" xfId="16" applyNumberFormat="1" applyFont="1" applyFill="1" applyBorder="1" applyAlignment="1" applyProtection="1">
      <alignment horizontal="center"/>
      <protection locked="0"/>
    </xf>
    <xf numFmtId="37" fontId="4" fillId="0" borderId="0" xfId="16" applyNumberFormat="1" applyFont="1" applyFill="1" applyBorder="1" applyAlignment="1" applyProtection="1">
      <alignment horizontal="center"/>
    </xf>
    <xf numFmtId="167" fontId="4" fillId="0" borderId="0" xfId="6" applyFont="1" applyFill="1" applyAlignment="1" applyProtection="1">
      <alignment horizontal="center"/>
    </xf>
    <xf numFmtId="167" fontId="5" fillId="0" borderId="0" xfId="6" applyFont="1" applyFill="1" applyAlignment="1" applyProtection="1">
      <alignment horizontal="center"/>
      <protection locked="0"/>
    </xf>
    <xf numFmtId="0" fontId="0" fillId="0" borderId="0" xfId="0" applyFill="1" applyAlignment="1">
      <alignment horizontal="center"/>
    </xf>
    <xf numFmtId="0" fontId="4" fillId="0" borderId="0" xfId="0" applyFont="1" applyFill="1" applyAlignment="1" applyProtection="1">
      <alignment horizontal="center"/>
    </xf>
    <xf numFmtId="167" fontId="4" fillId="0" borderId="0" xfId="16" applyFont="1" applyFill="1" applyAlignment="1">
      <alignment horizontal="center"/>
    </xf>
    <xf numFmtId="0" fontId="7" fillId="0" borderId="0" xfId="0" applyFont="1" applyFill="1"/>
    <xf numFmtId="167" fontId="4" fillId="0" borderId="0" xfId="17" applyFont="1" applyFill="1"/>
    <xf numFmtId="167" fontId="10" fillId="0" borderId="0" xfId="17" quotePrefix="1" applyFont="1" applyFill="1" applyAlignment="1" applyProtection="1">
      <alignment horizontal="centerContinuous"/>
    </xf>
    <xf numFmtId="167" fontId="5" fillId="0" borderId="0" xfId="17" applyFont="1" applyFill="1" applyAlignment="1">
      <alignment horizontal="centerContinuous"/>
    </xf>
    <xf numFmtId="167" fontId="11" fillId="0" borderId="0" xfId="17" quotePrefix="1" applyFont="1" applyFill="1" applyAlignment="1" applyProtection="1">
      <alignment horizontal="centerContinuous"/>
      <protection locked="0"/>
    </xf>
    <xf numFmtId="167" fontId="7" fillId="0" borderId="0" xfId="17" applyFont="1" applyFill="1" applyAlignment="1" applyProtection="1">
      <alignment horizontal="left"/>
    </xf>
    <xf numFmtId="167" fontId="7" fillId="0" borderId="0" xfId="16" applyFont="1" applyFill="1" applyAlignment="1" applyProtection="1">
      <alignment horizontal="center"/>
    </xf>
    <xf numFmtId="167" fontId="7" fillId="0" borderId="0" xfId="17" applyFont="1" applyFill="1" applyAlignment="1" applyProtection="1">
      <alignment horizontal="center"/>
    </xf>
    <xf numFmtId="37" fontId="4" fillId="0" borderId="0" xfId="17" applyNumberFormat="1" applyFont="1" applyFill="1" applyAlignment="1" applyProtection="1">
      <alignment horizontal="center"/>
    </xf>
    <xf numFmtId="37" fontId="4" fillId="0" borderId="0" xfId="17" applyNumberFormat="1" applyFont="1" applyFill="1" applyProtection="1"/>
    <xf numFmtId="167" fontId="4" fillId="0" borderId="0" xfId="17" applyFont="1" applyFill="1" applyAlignment="1" applyProtection="1">
      <alignment horizontal="left"/>
    </xf>
    <xf numFmtId="37" fontId="4" fillId="0" borderId="0" xfId="17" applyNumberFormat="1" applyFont="1" applyFill="1" applyBorder="1" applyAlignment="1" applyProtection="1">
      <alignment horizontal="center"/>
    </xf>
    <xf numFmtId="167" fontId="4" fillId="0" borderId="0" xfId="17" applyFont="1" applyFill="1" applyAlignment="1">
      <alignment horizontal="center"/>
    </xf>
    <xf numFmtId="167" fontId="4" fillId="0" borderId="0" xfId="17" applyFont="1" applyFill="1" applyAlignment="1" applyProtection="1">
      <alignment horizontal="center"/>
    </xf>
    <xf numFmtId="167" fontId="4" fillId="0" borderId="0" xfId="16" applyFont="1" applyFill="1"/>
    <xf numFmtId="167" fontId="7" fillId="0" borderId="0" xfId="16" applyFont="1" applyFill="1" applyAlignment="1" applyProtection="1">
      <alignment horizontal="left"/>
    </xf>
    <xf numFmtId="37" fontId="5" fillId="0" borderId="0" xfId="16" applyNumberFormat="1" applyFont="1" applyFill="1" applyProtection="1">
      <protection locked="0"/>
    </xf>
    <xf numFmtId="37" fontId="4" fillId="0" borderId="0" xfId="16" applyNumberFormat="1" applyFont="1" applyFill="1" applyProtection="1">
      <protection locked="0"/>
    </xf>
    <xf numFmtId="37" fontId="4" fillId="0" borderId="0" xfId="16" applyNumberFormat="1" applyFont="1" applyFill="1" applyProtection="1"/>
    <xf numFmtId="167" fontId="4" fillId="0" borderId="0" xfId="16" applyFont="1" applyFill="1" applyAlignment="1" applyProtection="1">
      <alignment horizontal="left"/>
    </xf>
    <xf numFmtId="0" fontId="7" fillId="0" borderId="0" xfId="0" applyNumberFormat="1" applyFont="1" applyFill="1" applyBorder="1" applyAlignment="1" applyProtection="1">
      <alignment horizontal="left"/>
      <protection locked="0"/>
    </xf>
    <xf numFmtId="0" fontId="4" fillId="0" borderId="0" xfId="0" applyNumberFormat="1" applyFont="1" applyFill="1" applyBorder="1" applyAlignment="1" applyProtection="1">
      <alignment horizontal="left"/>
      <protection locked="0"/>
    </xf>
    <xf numFmtId="17" fontId="7" fillId="0" borderId="0" xfId="0" applyNumberFormat="1" applyFont="1" applyFill="1" applyBorder="1" applyAlignment="1" applyProtection="1">
      <alignment horizontal="center"/>
      <protection locked="0"/>
    </xf>
    <xf numFmtId="0" fontId="7" fillId="0" borderId="0" xfId="0" applyNumberFormat="1" applyFont="1" applyFill="1" applyBorder="1" applyAlignment="1" applyProtection="1">
      <alignment horizontal="center"/>
      <protection locked="0"/>
    </xf>
    <xf numFmtId="37" fontId="4" fillId="0" borderId="10" xfId="0" applyNumberFormat="1" applyFont="1" applyFill="1" applyBorder="1" applyProtection="1">
      <protection locked="0"/>
    </xf>
    <xf numFmtId="164" fontId="4" fillId="0" borderId="0" xfId="0" applyNumberFormat="1" applyFont="1" applyFill="1"/>
    <xf numFmtId="4" fontId="4" fillId="0" borderId="0" xfId="0" applyNumberFormat="1" applyFont="1" applyFill="1"/>
    <xf numFmtId="165" fontId="4" fillId="0" borderId="0" xfId="0" applyNumberFormat="1" applyFont="1" applyFill="1"/>
    <xf numFmtId="0" fontId="4" fillId="0" borderId="0" xfId="0" applyFont="1" applyFill="1" applyAlignment="1">
      <alignment horizontal="left"/>
    </xf>
    <xf numFmtId="165" fontId="4" fillId="0" borderId="1" xfId="0" applyNumberFormat="1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38" fontId="1" fillId="0" borderId="0" xfId="0" applyNumberFormat="1" applyFont="1" applyFill="1" applyBorder="1"/>
    <xf numFmtId="166" fontId="6" fillId="0" borderId="0" xfId="1" applyNumberFormat="1" applyFont="1" applyFill="1"/>
    <xf numFmtId="38" fontId="1" fillId="0" borderId="0" xfId="0" quotePrefix="1" applyNumberFormat="1" applyFont="1" applyFill="1" applyBorder="1" applyAlignment="1">
      <alignment horizontal="left"/>
    </xf>
    <xf numFmtId="166" fontId="1" fillId="0" borderId="0" xfId="1" applyNumberFormat="1" applyFont="1" applyFill="1"/>
    <xf numFmtId="0" fontId="4" fillId="0" borderId="0" xfId="0" applyFont="1" applyFill="1" applyAlignment="1" applyProtection="1"/>
    <xf numFmtId="166" fontId="5" fillId="0" borderId="0" xfId="1" applyNumberFormat="1" applyFont="1" applyFill="1" applyProtection="1">
      <protection locked="0"/>
    </xf>
    <xf numFmtId="166" fontId="4" fillId="0" borderId="9" xfId="1" applyNumberFormat="1" applyFont="1" applyFill="1" applyBorder="1" applyProtection="1">
      <protection locked="0"/>
    </xf>
    <xf numFmtId="0" fontId="7" fillId="0" borderId="0" xfId="0" applyFont="1" applyFill="1" applyBorder="1"/>
    <xf numFmtId="166" fontId="4" fillId="0" borderId="11" xfId="0" applyNumberFormat="1" applyFont="1" applyFill="1" applyBorder="1"/>
    <xf numFmtId="0" fontId="4" fillId="0" borderId="0" xfId="15" applyFont="1" applyFill="1"/>
    <xf numFmtId="37" fontId="4" fillId="0" borderId="6" xfId="15" applyNumberFormat="1" applyFont="1" applyFill="1" applyBorder="1" applyAlignment="1" applyProtection="1">
      <alignment horizontal="center"/>
    </xf>
    <xf numFmtId="37" fontId="7" fillId="0" borderId="0" xfId="15" applyNumberFormat="1" applyFont="1" applyFill="1" applyAlignment="1" applyProtection="1">
      <alignment horizontal="left"/>
    </xf>
    <xf numFmtId="37" fontId="4" fillId="0" borderId="5" xfId="15" applyNumberFormat="1" applyFont="1" applyFill="1" applyBorder="1" applyAlignment="1" applyProtection="1">
      <alignment horizontal="center"/>
    </xf>
    <xf numFmtId="37" fontId="4" fillId="0" borderId="4" xfId="15" quotePrefix="1" applyNumberFormat="1" applyFont="1" applyFill="1" applyBorder="1" applyAlignment="1" applyProtection="1">
      <alignment horizontal="center"/>
    </xf>
    <xf numFmtId="37" fontId="4" fillId="0" borderId="4" xfId="15" applyNumberFormat="1" applyFont="1" applyFill="1" applyBorder="1" applyAlignment="1" applyProtection="1">
      <alignment horizontal="center"/>
    </xf>
    <xf numFmtId="37" fontId="4" fillId="0" borderId="0" xfId="15" applyNumberFormat="1" applyFont="1" applyFill="1" applyAlignment="1" applyProtection="1">
      <alignment horizontal="center"/>
      <protection locked="0"/>
    </xf>
    <xf numFmtId="17" fontId="4" fillId="0" borderId="0" xfId="15" applyNumberFormat="1" applyFont="1" applyFill="1" applyBorder="1" applyAlignment="1" applyProtection="1">
      <alignment horizontal="left"/>
    </xf>
    <xf numFmtId="37" fontId="4" fillId="0" borderId="0" xfId="15" applyNumberFormat="1" applyFont="1" applyFill="1"/>
    <xf numFmtId="37" fontId="4" fillId="0" borderId="0" xfId="15" applyNumberFormat="1" applyFont="1" applyFill="1" applyBorder="1" applyAlignment="1" applyProtection="1">
      <alignment horizontal="left"/>
    </xf>
    <xf numFmtId="168" fontId="4" fillId="0" borderId="0" xfId="0" applyNumberFormat="1" applyFont="1" applyFill="1" applyAlignment="1" applyProtection="1">
      <alignment horizontal="left"/>
    </xf>
    <xf numFmtId="3" fontId="7" fillId="0" borderId="0" xfId="0" applyNumberFormat="1" applyFont="1" applyFill="1" applyBorder="1"/>
    <xf numFmtId="40" fontId="21" fillId="0" borderId="0" xfId="0" applyNumberFormat="1" applyFont="1" applyFill="1"/>
    <xf numFmtId="175" fontId="7" fillId="0" borderId="0" xfId="0" applyNumberFormat="1" applyFont="1" applyFill="1" applyAlignment="1">
      <alignment horizontal="center"/>
    </xf>
    <xf numFmtId="38" fontId="1" fillId="0" borderId="0" xfId="0" applyNumberFormat="1" applyFont="1" applyFill="1"/>
    <xf numFmtId="167" fontId="22" fillId="0" borderId="0" xfId="6" applyFont="1" applyFill="1" applyBorder="1" applyAlignment="1">
      <alignment horizontal="right"/>
    </xf>
    <xf numFmtId="166" fontId="22" fillId="0" borderId="0" xfId="1" applyNumberFormat="1" applyFont="1" applyFill="1" applyAlignment="1">
      <alignment horizontal="center"/>
    </xf>
    <xf numFmtId="0" fontId="1" fillId="0" borderId="0" xfId="0" applyFont="1" applyFill="1" applyBorder="1"/>
    <xf numFmtId="3" fontId="1" fillId="0" borderId="0" xfId="0" applyNumberFormat="1" applyFont="1" applyFill="1" applyBorder="1"/>
    <xf numFmtId="166" fontId="22" fillId="0" borderId="0" xfId="1" applyNumberFormat="1" applyFont="1" applyFill="1" applyAlignment="1">
      <alignment horizontal="right"/>
    </xf>
    <xf numFmtId="38" fontId="4" fillId="0" borderId="0" xfId="0" applyNumberFormat="1" applyFont="1" applyFill="1"/>
    <xf numFmtId="0" fontId="16" fillId="0" borderId="0" xfId="18" applyFont="1" applyFill="1"/>
    <xf numFmtId="17" fontId="20" fillId="0" borderId="0" xfId="6" applyNumberFormat="1" applyFont="1" applyFill="1" applyAlignment="1" applyProtection="1">
      <alignment horizontal="left"/>
    </xf>
    <xf numFmtId="40" fontId="4" fillId="0" borderId="0" xfId="0" applyNumberFormat="1" applyFont="1" applyFill="1"/>
    <xf numFmtId="0" fontId="20" fillId="0" borderId="0" xfId="18" applyFont="1" applyFill="1"/>
    <xf numFmtId="37" fontId="5" fillId="0" borderId="0" xfId="0" applyNumberFormat="1" applyFont="1" applyFill="1" applyAlignment="1">
      <alignment horizontal="centerContinuous"/>
    </xf>
    <xf numFmtId="37" fontId="10" fillId="0" borderId="0" xfId="0" applyNumberFormat="1" applyFont="1" applyFill="1"/>
    <xf numFmtId="9" fontId="4" fillId="0" borderId="0" xfId="19" applyFont="1" applyFill="1"/>
    <xf numFmtId="37" fontId="4" fillId="0" borderId="0" xfId="0" applyNumberFormat="1" applyFont="1" applyFill="1" applyAlignment="1">
      <alignment horizontal="left"/>
    </xf>
    <xf numFmtId="6" fontId="7" fillId="0" borderId="0" xfId="0" quotePrefix="1" applyNumberFormat="1" applyFont="1" applyFill="1" applyBorder="1" applyAlignment="1">
      <alignment horizontal="center"/>
    </xf>
    <xf numFmtId="3" fontId="0" fillId="0" borderId="0" xfId="0" applyNumberFormat="1" applyFill="1"/>
    <xf numFmtId="0" fontId="0" fillId="0" borderId="0" xfId="0" applyFill="1" applyAlignment="1"/>
    <xf numFmtId="6" fontId="4" fillId="0" borderId="0" xfId="0" applyNumberFormat="1" applyFont="1" applyFill="1"/>
    <xf numFmtId="6" fontId="4" fillId="0" borderId="0" xfId="0" applyNumberFormat="1" applyFont="1" applyFill="1" applyProtection="1"/>
    <xf numFmtId="37" fontId="4" fillId="0" borderId="1" xfId="0" applyNumberFormat="1" applyFont="1" applyFill="1" applyBorder="1" applyProtection="1"/>
    <xf numFmtId="0" fontId="10" fillId="0" borderId="0" xfId="0" applyFont="1" applyFill="1" applyAlignment="1" applyProtection="1">
      <alignment horizontal="left"/>
    </xf>
    <xf numFmtId="39" fontId="4" fillId="0" borderId="0" xfId="0" applyNumberFormat="1" applyFont="1" applyFill="1" applyProtection="1"/>
    <xf numFmtId="167" fontId="5" fillId="0" borderId="0" xfId="10" quotePrefix="1" applyFont="1" applyFill="1" applyAlignment="1" applyProtection="1">
      <alignment horizontal="center"/>
    </xf>
    <xf numFmtId="167" fontId="4" fillId="0" borderId="0" xfId="6" applyFont="1" applyFill="1" applyAlignment="1">
      <alignment horizontal="center"/>
    </xf>
    <xf numFmtId="167" fontId="4" fillId="0" borderId="0" xfId="6" applyFont="1" applyFill="1" applyAlignment="1" applyProtection="1">
      <alignment horizontal="left"/>
    </xf>
    <xf numFmtId="167" fontId="7" fillId="0" borderId="0" xfId="6" applyFont="1" applyFill="1" applyAlignment="1" applyProtection="1">
      <alignment horizontal="left"/>
    </xf>
    <xf numFmtId="167" fontId="7" fillId="0" borderId="0" xfId="6" applyFont="1" applyFill="1" applyAlignment="1" applyProtection="1">
      <alignment horizontal="center"/>
    </xf>
    <xf numFmtId="0" fontId="14" fillId="0" borderId="0" xfId="18" applyFont="1" applyFill="1"/>
    <xf numFmtId="17" fontId="19" fillId="0" borderId="0" xfId="6" applyNumberFormat="1" applyFont="1" applyFill="1" applyAlignment="1" applyProtection="1">
      <alignment horizontal="left"/>
    </xf>
    <xf numFmtId="0" fontId="19" fillId="0" borderId="0" xfId="18" applyFont="1" applyFill="1"/>
    <xf numFmtId="167" fontId="4" fillId="0" borderId="6" xfId="6" applyFont="1" applyFill="1" applyBorder="1" applyAlignment="1" applyProtection="1">
      <alignment horizontal="center"/>
    </xf>
    <xf numFmtId="0" fontId="4" fillId="0" borderId="12" xfId="18" applyFont="1" applyFill="1" applyBorder="1" applyAlignment="1">
      <alignment horizontal="center"/>
    </xf>
    <xf numFmtId="167" fontId="4" fillId="0" borderId="4" xfId="6" applyFont="1" applyFill="1" applyBorder="1" applyAlignment="1" applyProtection="1">
      <alignment horizontal="center"/>
    </xf>
    <xf numFmtId="37" fontId="5" fillId="0" borderId="0" xfId="6" applyNumberFormat="1" applyFont="1" applyFill="1" applyProtection="1">
      <protection locked="0"/>
    </xf>
    <xf numFmtId="37" fontId="5" fillId="0" borderId="8" xfId="6" applyNumberFormat="1" applyFont="1" applyFill="1" applyBorder="1" applyAlignment="1" applyProtection="1">
      <alignment horizontal="center"/>
      <protection locked="0"/>
    </xf>
    <xf numFmtId="167" fontId="4" fillId="0" borderId="0" xfId="6" quotePrefix="1" applyFont="1" applyFill="1" applyAlignment="1" applyProtection="1">
      <alignment horizontal="left"/>
    </xf>
    <xf numFmtId="0" fontId="4" fillId="0" borderId="13" xfId="18" applyFont="1" applyFill="1" applyBorder="1" applyAlignment="1">
      <alignment horizontal="center"/>
    </xf>
    <xf numFmtId="0" fontId="14" fillId="0" borderId="0" xfId="18" applyFont="1" applyFill="1" applyAlignment="1">
      <alignment horizontal="left"/>
    </xf>
    <xf numFmtId="17" fontId="19" fillId="0" borderId="0" xfId="6" quotePrefix="1" applyNumberFormat="1" applyFont="1" applyFill="1" applyAlignment="1" applyProtection="1">
      <alignment horizontal="left"/>
    </xf>
    <xf numFmtId="0" fontId="14" fillId="0" borderId="0" xfId="18" applyFont="1" applyFill="1" applyAlignment="1">
      <alignment horizontal="center"/>
    </xf>
    <xf numFmtId="0" fontId="4" fillId="0" borderId="0" xfId="0" applyFont="1" applyFill="1" applyAlignment="1">
      <alignment horizontal="right"/>
    </xf>
    <xf numFmtId="168" fontId="4" fillId="0" borderId="0" xfId="0" applyNumberFormat="1" applyFont="1" applyFill="1" applyAlignment="1" applyProtection="1">
      <alignment horizontal="center"/>
    </xf>
    <xf numFmtId="43" fontId="4" fillId="0" borderId="0" xfId="0" applyNumberFormat="1" applyFont="1" applyFill="1"/>
    <xf numFmtId="175" fontId="4" fillId="0" borderId="0" xfId="0" applyNumberFormat="1" applyFont="1" applyFill="1" applyAlignment="1">
      <alignment horizontal="left"/>
    </xf>
    <xf numFmtId="0" fontId="1" fillId="0" borderId="0" xfId="18" applyFont="1" applyFill="1"/>
    <xf numFmtId="0" fontId="1" fillId="0" borderId="0" xfId="18" applyFill="1"/>
    <xf numFmtId="0" fontId="4" fillId="0" borderId="14" xfId="0" applyFont="1" applyFill="1" applyBorder="1"/>
    <xf numFmtId="0" fontId="4" fillId="0" borderId="6" xfId="0" applyFont="1" applyFill="1" applyBorder="1" applyAlignment="1"/>
    <xf numFmtId="0" fontId="4" fillId="0" borderId="15" xfId="0" applyFont="1" applyFill="1" applyBorder="1" applyAlignment="1">
      <alignment horizontal="center"/>
    </xf>
    <xf numFmtId="0" fontId="4" fillId="0" borderId="6" xfId="0" quotePrefix="1" applyFont="1" applyFill="1" applyBorder="1" applyAlignment="1" applyProtection="1">
      <alignment horizontal="center"/>
    </xf>
    <xf numFmtId="0" fontId="4" fillId="0" borderId="14" xfId="0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/>
    </xf>
    <xf numFmtId="0" fontId="4" fillId="0" borderId="12" xfId="0" applyFont="1" applyFill="1" applyBorder="1" applyAlignment="1" applyProtection="1">
      <alignment horizontal="center"/>
    </xf>
    <xf numFmtId="0" fontId="4" fillId="0" borderId="5" xfId="0" applyFont="1" applyFill="1" applyBorder="1" applyAlignment="1">
      <alignment horizontal="center"/>
    </xf>
    <xf numFmtId="37" fontId="4" fillId="0" borderId="0" xfId="0" applyNumberFormat="1" applyFont="1" applyFill="1" applyAlignment="1" applyProtection="1">
      <alignment horizontal="center"/>
      <protection locked="0"/>
    </xf>
    <xf numFmtId="0" fontId="4" fillId="0" borderId="13" xfId="0" applyFont="1" applyFill="1" applyBorder="1" applyAlignment="1" applyProtection="1">
      <alignment horizontal="center"/>
    </xf>
    <xf numFmtId="37" fontId="4" fillId="0" borderId="7" xfId="15" applyNumberFormat="1" applyFont="1" applyFill="1" applyBorder="1" applyAlignment="1" applyProtection="1">
      <alignment horizontal="center"/>
    </xf>
    <xf numFmtId="10" fontId="4" fillId="0" borderId="0" xfId="15" applyNumberFormat="1" applyFont="1" applyFill="1"/>
    <xf numFmtId="37" fontId="4" fillId="0" borderId="15" xfId="15" quotePrefix="1" applyNumberFormat="1" applyFont="1" applyFill="1" applyBorder="1" applyAlignment="1" applyProtection="1">
      <alignment horizontal="center"/>
    </xf>
    <xf numFmtId="37" fontId="4" fillId="0" borderId="16" xfId="15" applyNumberFormat="1" applyFont="1" applyFill="1" applyBorder="1" applyAlignment="1" applyProtection="1">
      <alignment horizontal="center"/>
    </xf>
    <xf numFmtId="37" fontId="4" fillId="0" borderId="0" xfId="15" applyNumberFormat="1" applyFont="1" applyFill="1" applyBorder="1" applyAlignment="1" applyProtection="1">
      <alignment horizontal="center"/>
    </xf>
    <xf numFmtId="0" fontId="4" fillId="0" borderId="0" xfId="15" quotePrefix="1" applyFont="1" applyFill="1" applyAlignment="1">
      <alignment horizontal="right"/>
    </xf>
    <xf numFmtId="0" fontId="4" fillId="0" borderId="0" xfId="15" quotePrefix="1" applyFont="1" applyFill="1" applyAlignment="1">
      <alignment horizontal="center"/>
    </xf>
    <xf numFmtId="37" fontId="0" fillId="0" borderId="0" xfId="0" applyNumberFormat="1"/>
    <xf numFmtId="167" fontId="4" fillId="0" borderId="0" xfId="16" quotePrefix="1" applyFont="1" applyFill="1" applyAlignment="1">
      <alignment horizontal="center"/>
    </xf>
    <xf numFmtId="0" fontId="4" fillId="2" borderId="0" xfId="0" applyFont="1" applyFill="1"/>
    <xf numFmtId="6" fontId="4" fillId="2" borderId="1" xfId="0" quotePrefix="1" applyNumberFormat="1" applyFont="1" applyFill="1" applyBorder="1" applyAlignment="1" applyProtection="1">
      <alignment horizontal="center"/>
    </xf>
    <xf numFmtId="37" fontId="4" fillId="2" borderId="1" xfId="0" quotePrefix="1" applyNumberFormat="1" applyFont="1" applyFill="1" applyBorder="1" applyAlignment="1" applyProtection="1">
      <alignment horizontal="center"/>
    </xf>
    <xf numFmtId="17" fontId="20" fillId="2" borderId="0" xfId="6" quotePrefix="1" applyNumberFormat="1" applyFont="1" applyFill="1" applyAlignment="1" applyProtection="1">
      <alignment horizontal="left"/>
    </xf>
    <xf numFmtId="0" fontId="4" fillId="3" borderId="0" xfId="0" applyFont="1" applyFill="1"/>
    <xf numFmtId="166" fontId="4" fillId="3" borderId="0" xfId="0" applyNumberFormat="1" applyFont="1" applyFill="1"/>
    <xf numFmtId="0" fontId="4" fillId="3" borderId="0" xfId="0" applyFont="1" applyFill="1" applyAlignment="1">
      <alignment horizontal="right"/>
    </xf>
    <xf numFmtId="41" fontId="4" fillId="0" borderId="0" xfId="1" applyNumberFormat="1" applyFont="1" applyFill="1"/>
    <xf numFmtId="15" fontId="7" fillId="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5" fillId="0" borderId="0" xfId="0" quotePrefix="1" applyFont="1" applyFill="1" applyAlignment="1">
      <alignment horizontal="center"/>
    </xf>
    <xf numFmtId="166" fontId="0" fillId="0" borderId="0" xfId="0" applyNumberFormat="1"/>
    <xf numFmtId="0" fontId="0" fillId="0" borderId="1" xfId="0" applyBorder="1" applyAlignment="1">
      <alignment horizontal="center"/>
    </xf>
    <xf numFmtId="37" fontId="4" fillId="2" borderId="0" xfId="0" applyNumberFormat="1" applyFont="1" applyFill="1" applyProtection="1"/>
    <xf numFmtId="6" fontId="4" fillId="2" borderId="0" xfId="0" applyNumberFormat="1" applyFont="1" applyFill="1" applyProtection="1"/>
    <xf numFmtId="6" fontId="4" fillId="2" borderId="0" xfId="0" applyNumberFormat="1" applyFont="1" applyFill="1"/>
    <xf numFmtId="166" fontId="0" fillId="0" borderId="0" xfId="1" applyNumberFormat="1" applyFont="1" applyFill="1"/>
    <xf numFmtId="166" fontId="0" fillId="0" borderId="0" xfId="0" applyNumberFormat="1" applyFill="1"/>
    <xf numFmtId="1" fontId="1" fillId="0" borderId="0" xfId="1" applyNumberFormat="1" applyFont="1" applyFill="1" applyBorder="1" applyAlignment="1">
      <alignment horizontal="left"/>
    </xf>
    <xf numFmtId="172" fontId="1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/>
    <xf numFmtId="0" fontId="0" fillId="4" borderId="0" xfId="0" applyFill="1"/>
    <xf numFmtId="0" fontId="0" fillId="0" borderId="0" xfId="0" applyBorder="1"/>
    <xf numFmtId="17" fontId="20" fillId="3" borderId="0" xfId="6" applyNumberFormat="1" applyFont="1" applyFill="1" applyAlignment="1" applyProtection="1">
      <alignment horizontal="left"/>
    </xf>
    <xf numFmtId="167" fontId="4" fillId="0" borderId="1" xfId="16" applyFont="1" applyFill="1" applyBorder="1" applyAlignment="1" applyProtection="1">
      <alignment horizontal="center"/>
    </xf>
    <xf numFmtId="167" fontId="4" fillId="0" borderId="0" xfId="16" applyFont="1" applyFill="1" applyBorder="1" applyAlignment="1" applyProtection="1">
      <alignment horizontal="center"/>
    </xf>
    <xf numFmtId="167" fontId="4" fillId="3" borderId="0" xfId="17" applyFont="1" applyFill="1" applyAlignment="1">
      <alignment horizontal="center"/>
    </xf>
    <xf numFmtId="167" fontId="7" fillId="3" borderId="0" xfId="16" applyFont="1" applyFill="1" applyAlignment="1" applyProtection="1">
      <alignment horizontal="center"/>
    </xf>
    <xf numFmtId="0" fontId="0" fillId="3" borderId="0" xfId="0" applyFill="1"/>
    <xf numFmtId="0" fontId="4" fillId="0" borderId="0" xfId="13" applyFont="1"/>
    <xf numFmtId="37" fontId="7" fillId="0" borderId="0" xfId="5" applyFont="1" applyFill="1" applyBorder="1"/>
    <xf numFmtId="37" fontId="7" fillId="0" borderId="0" xfId="5" applyFont="1" applyFill="1"/>
    <xf numFmtId="167" fontId="4" fillId="3" borderId="0" xfId="10" applyFont="1" applyFill="1"/>
    <xf numFmtId="167" fontId="7" fillId="3" borderId="0" xfId="10" applyFont="1" applyFill="1" applyAlignment="1" applyProtection="1">
      <alignment horizontal="center"/>
    </xf>
    <xf numFmtId="167" fontId="7" fillId="3" borderId="0" xfId="10" applyFont="1" applyFill="1" applyAlignment="1">
      <alignment horizontal="center"/>
    </xf>
    <xf numFmtId="37" fontId="5" fillId="3" borderId="0" xfId="10" applyNumberFormat="1" applyFont="1" applyFill="1" applyAlignment="1" applyProtection="1">
      <alignment horizontal="right"/>
    </xf>
    <xf numFmtId="167" fontId="4" fillId="3" borderId="0" xfId="10" applyFont="1" applyFill="1" applyAlignment="1" applyProtection="1">
      <alignment horizontal="left"/>
    </xf>
    <xf numFmtId="37" fontId="4" fillId="3" borderId="0" xfId="10" applyNumberFormat="1" applyFont="1" applyFill="1" applyAlignment="1" applyProtection="1">
      <alignment horizontal="left"/>
    </xf>
    <xf numFmtId="37" fontId="5" fillId="3" borderId="0" xfId="10" applyNumberFormat="1" applyFont="1" applyFill="1" applyAlignment="1">
      <alignment horizontal="right"/>
    </xf>
    <xf numFmtId="167" fontId="4" fillId="3" borderId="0" xfId="10" applyFont="1" applyFill="1" applyAlignment="1">
      <alignment horizontal="left"/>
    </xf>
    <xf numFmtId="167" fontId="4" fillId="3" borderId="0" xfId="10" quotePrefix="1" applyFont="1" applyFill="1" applyAlignment="1">
      <alignment horizontal="left" wrapText="1"/>
    </xf>
    <xf numFmtId="167" fontId="4" fillId="3" borderId="1" xfId="10" applyFont="1" applyFill="1" applyBorder="1"/>
    <xf numFmtId="37" fontId="5" fillId="3" borderId="1" xfId="10" applyNumberFormat="1" applyFont="1" applyFill="1" applyBorder="1" applyAlignment="1">
      <alignment horizontal="right"/>
    </xf>
    <xf numFmtId="167" fontId="4" fillId="3" borderId="1" xfId="10" applyFont="1" applyFill="1" applyBorder="1" applyAlignment="1">
      <alignment horizontal="left"/>
    </xf>
    <xf numFmtId="37" fontId="4" fillId="3" borderId="0" xfId="10" applyNumberFormat="1" applyFont="1" applyFill="1" applyAlignment="1">
      <alignment horizontal="right"/>
    </xf>
    <xf numFmtId="37" fontId="4" fillId="3" borderId="0" xfId="5" applyFont="1" applyFill="1" applyBorder="1"/>
    <xf numFmtId="37" fontId="4" fillId="3" borderId="0" xfId="5" applyFont="1" applyFill="1"/>
    <xf numFmtId="37" fontId="5" fillId="3" borderId="0" xfId="5" applyFont="1" applyFill="1" applyBorder="1"/>
    <xf numFmtId="0" fontId="0" fillId="3" borderId="0" xfId="0" applyFill="1" applyAlignment="1">
      <alignment horizontal="left"/>
    </xf>
    <xf numFmtId="166" fontId="0" fillId="4" borderId="0" xfId="0" applyNumberFormat="1" applyFill="1"/>
    <xf numFmtId="17" fontId="4" fillId="0" borderId="0" xfId="6" applyNumberFormat="1" applyFont="1" applyFill="1" applyAlignment="1" applyProtection="1">
      <alignment horizontal="left"/>
    </xf>
    <xf numFmtId="0" fontId="0" fillId="0" borderId="0" xfId="0" applyFill="1" applyAlignment="1">
      <alignment horizontal="right"/>
    </xf>
    <xf numFmtId="0" fontId="27" fillId="0" borderId="0" xfId="0" applyFont="1" applyFill="1"/>
    <xf numFmtId="0" fontId="1" fillId="0" borderId="0" xfId="1" applyNumberFormat="1" applyFont="1" applyFill="1" applyBorder="1" applyAlignment="1">
      <alignment horizontal="left"/>
    </xf>
    <xf numFmtId="37" fontId="5" fillId="3" borderId="0" xfId="15" applyNumberFormat="1" applyFont="1" applyFill="1" applyProtection="1"/>
    <xf numFmtId="0" fontId="4" fillId="0" borderId="0" xfId="0" applyNumberFormat="1" applyFont="1" applyFill="1"/>
    <xf numFmtId="0" fontId="26" fillId="0" borderId="0" xfId="0" applyFont="1"/>
    <xf numFmtId="0" fontId="19" fillId="0" borderId="0" xfId="0" applyFont="1"/>
    <xf numFmtId="167" fontId="4" fillId="0" borderId="0" xfId="6" applyFont="1" applyFill="1" applyAlignment="1">
      <alignment horizontal="left"/>
    </xf>
    <xf numFmtId="37" fontId="4" fillId="0" borderId="0" xfId="5" applyFont="1" applyFill="1" applyAlignment="1">
      <alignment horizontal="center"/>
    </xf>
    <xf numFmtId="0" fontId="0" fillId="0" borderId="0" xfId="0" applyAlignment="1">
      <alignment vertical="center"/>
    </xf>
    <xf numFmtId="167" fontId="4" fillId="0" borderId="0" xfId="10" applyFont="1" applyFill="1" applyAlignment="1">
      <alignment horizontal="right"/>
    </xf>
    <xf numFmtId="0" fontId="0" fillId="0" borderId="0" xfId="0" applyAlignment="1">
      <alignment horizontal="right"/>
    </xf>
    <xf numFmtId="0" fontId="1" fillId="0" borderId="0" xfId="14" applyFont="1" applyFill="1" applyAlignment="1">
      <alignment horizontal="right"/>
    </xf>
    <xf numFmtId="0" fontId="4" fillId="0" borderId="0" xfId="15" applyFont="1" applyFill="1" applyAlignment="1">
      <alignment horizontal="right"/>
    </xf>
    <xf numFmtId="37" fontId="4" fillId="0" borderId="0" xfId="5" applyFont="1" applyFill="1" applyAlignment="1">
      <alignment horizontal="right"/>
    </xf>
    <xf numFmtId="167" fontId="4" fillId="0" borderId="0" xfId="16" applyFont="1" applyFill="1" applyAlignment="1">
      <alignment horizontal="right"/>
    </xf>
    <xf numFmtId="167" fontId="4" fillId="0" borderId="0" xfId="17" applyFont="1" applyFill="1" applyAlignment="1">
      <alignment horizontal="right"/>
    </xf>
    <xf numFmtId="0" fontId="0" fillId="3" borderId="0" xfId="0" applyFill="1" applyAlignment="1">
      <alignment horizontal="right"/>
    </xf>
    <xf numFmtId="167" fontId="4" fillId="0" borderId="4" xfId="6" applyFont="1" applyFill="1" applyBorder="1" applyAlignment="1" applyProtection="1">
      <alignment horizontal="center" wrapText="1"/>
    </xf>
    <xf numFmtId="0" fontId="0" fillId="0" borderId="1" xfId="0" applyFill="1" applyBorder="1"/>
    <xf numFmtId="0" fontId="1" fillId="0" borderId="0" xfId="0" applyFont="1" applyFill="1"/>
    <xf numFmtId="0" fontId="1" fillId="3" borderId="0" xfId="0" applyFont="1" applyFill="1"/>
    <xf numFmtId="37" fontId="4" fillId="0" borderId="4" xfId="6" applyNumberFormat="1" applyFont="1" applyFill="1" applyBorder="1" applyProtection="1">
      <protection locked="0"/>
    </xf>
    <xf numFmtId="166" fontId="5" fillId="0" borderId="5" xfId="1" applyNumberFormat="1" applyFont="1" applyFill="1" applyBorder="1"/>
    <xf numFmtId="1" fontId="1" fillId="0" borderId="0" xfId="0" applyNumberFormat="1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166" fontId="4" fillId="0" borderId="13" xfId="2" applyNumberFormat="1" applyFont="1" applyFill="1" applyBorder="1" applyAlignment="1">
      <alignment horizontal="center"/>
    </xf>
    <xf numFmtId="17" fontId="30" fillId="0" borderId="0" xfId="6" applyNumberFormat="1" applyFont="1" applyFill="1" applyAlignment="1" applyProtection="1">
      <alignment horizontal="left"/>
    </xf>
    <xf numFmtId="0" fontId="6" fillId="0" borderId="0" xfId="0" applyFont="1"/>
    <xf numFmtId="167" fontId="28" fillId="3" borderId="0" xfId="10" applyFont="1" applyFill="1"/>
    <xf numFmtId="0" fontId="31" fillId="0" borderId="0" xfId="13" applyNumberFormat="1" applyFont="1" applyAlignment="1">
      <alignment horizontal="center"/>
    </xf>
    <xf numFmtId="0" fontId="31" fillId="0" borderId="0" xfId="13" applyNumberFormat="1" applyFont="1"/>
    <xf numFmtId="0" fontId="32" fillId="0" borderId="0" xfId="7" applyFont="1" applyFill="1" applyAlignment="1">
      <alignment horizontal="center"/>
    </xf>
    <xf numFmtId="0" fontId="4" fillId="0" borderId="0" xfId="13" applyNumberFormat="1" applyFont="1"/>
    <xf numFmtId="0" fontId="32" fillId="0" borderId="0" xfId="7" applyFont="1" applyFill="1" applyBorder="1" applyAlignment="1">
      <alignment horizontal="center"/>
    </xf>
    <xf numFmtId="0" fontId="33" fillId="0" borderId="0" xfId="13" applyNumberFormat="1" applyFont="1" applyAlignment="1">
      <alignment horizontal="center"/>
    </xf>
    <xf numFmtId="0" fontId="33" fillId="0" borderId="0" xfId="13" applyNumberFormat="1" applyFont="1"/>
    <xf numFmtId="0" fontId="34" fillId="0" borderId="0" xfId="0" applyFont="1" applyBorder="1" applyAlignment="1">
      <alignment horizontal="center"/>
    </xf>
    <xf numFmtId="0" fontId="33" fillId="0" borderId="0" xfId="13" applyNumberFormat="1" applyFont="1" applyBorder="1" applyAlignment="1">
      <alignment horizontal="center"/>
    </xf>
    <xf numFmtId="0" fontId="4" fillId="0" borderId="0" xfId="13" applyFont="1" applyBorder="1"/>
    <xf numFmtId="0" fontId="33" fillId="0" borderId="1" xfId="13" applyNumberFormat="1" applyFont="1" applyBorder="1" applyAlignment="1">
      <alignment horizontal="center"/>
    </xf>
    <xf numFmtId="0" fontId="33" fillId="0" borderId="1" xfId="13" applyNumberFormat="1" applyFont="1" applyBorder="1"/>
    <xf numFmtId="181" fontId="33" fillId="0" borderId="1" xfId="13" applyNumberFormat="1" applyFont="1" applyBorder="1" applyAlignment="1">
      <alignment horizontal="center"/>
    </xf>
    <xf numFmtId="0" fontId="31" fillId="0" borderId="0" xfId="13" applyNumberFormat="1" applyFont="1" applyBorder="1" applyAlignment="1">
      <alignment horizontal="center"/>
    </xf>
    <xf numFmtId="181" fontId="31" fillId="0" borderId="0" xfId="13" applyNumberFormat="1" applyFont="1" applyAlignment="1">
      <alignment horizontal="center"/>
    </xf>
    <xf numFmtId="181" fontId="33" fillId="0" borderId="0" xfId="13" applyNumberFormat="1" applyFont="1" applyBorder="1" applyAlignment="1">
      <alignment horizontal="center"/>
    </xf>
    <xf numFmtId="0" fontId="35" fillId="0" borderId="0" xfId="13" applyFont="1"/>
    <xf numFmtId="0" fontId="36" fillId="0" borderId="0" xfId="13" applyFont="1"/>
    <xf numFmtId="0" fontId="31" fillId="0" borderId="0" xfId="13" applyFont="1"/>
    <xf numFmtId="0" fontId="36" fillId="0" borderId="0" xfId="13" applyFont="1" applyFill="1"/>
    <xf numFmtId="0" fontId="4" fillId="0" borderId="0" xfId="13" applyFont="1" applyFill="1"/>
    <xf numFmtId="166" fontId="37" fillId="0" borderId="0" xfId="13" applyNumberFormat="1" applyFont="1" applyFill="1" applyBorder="1"/>
    <xf numFmtId="166" fontId="37" fillId="5" borderId="0" xfId="13" applyNumberFormat="1" applyFont="1" applyFill="1" applyBorder="1"/>
    <xf numFmtId="0" fontId="36" fillId="5" borderId="0" xfId="13" applyFont="1" applyFill="1" applyAlignment="1">
      <alignment horizontal="center"/>
    </xf>
    <xf numFmtId="166" fontId="36" fillId="0" borderId="0" xfId="13" applyNumberFormat="1" applyFont="1" applyFill="1"/>
    <xf numFmtId="166" fontId="38" fillId="0" borderId="0" xfId="13" applyNumberFormat="1" applyFont="1" applyFill="1" applyBorder="1"/>
    <xf numFmtId="0" fontId="31" fillId="0" borderId="0" xfId="13" applyFont="1" applyFill="1"/>
    <xf numFmtId="0" fontId="39" fillId="0" borderId="0" xfId="13" applyFont="1"/>
    <xf numFmtId="3" fontId="37" fillId="0" borderId="0" xfId="13" applyNumberFormat="1" applyFont="1" applyFill="1" applyBorder="1"/>
    <xf numFmtId="0" fontId="31" fillId="0" borderId="0" xfId="9" applyFont="1" applyFill="1" applyAlignment="1">
      <alignment horizontal="center"/>
    </xf>
    <xf numFmtId="0" fontId="31" fillId="0" borderId="0" xfId="9" applyFont="1" applyFill="1" applyAlignment="1">
      <alignment horizontal="left" indent="2"/>
    </xf>
    <xf numFmtId="39" fontId="31" fillId="0" borderId="0" xfId="9" applyNumberFormat="1" applyFont="1" applyFill="1"/>
    <xf numFmtId="166" fontId="37" fillId="5" borderId="0" xfId="13" applyNumberFormat="1" applyFont="1" applyFill="1"/>
    <xf numFmtId="166" fontId="37" fillId="0" borderId="0" xfId="13" applyNumberFormat="1" applyFont="1" applyFill="1"/>
    <xf numFmtId="0" fontId="36" fillId="0" borderId="0" xfId="0" applyFont="1" applyFill="1"/>
    <xf numFmtId="0" fontId="36" fillId="0" borderId="0" xfId="0" applyFont="1"/>
    <xf numFmtId="0" fontId="4" fillId="0" borderId="0" xfId="0" applyFont="1"/>
    <xf numFmtId="166" fontId="36" fillId="0" borderId="11" xfId="1" applyNumberFormat="1" applyFont="1" applyBorder="1"/>
    <xf numFmtId="0" fontId="1" fillId="0" borderId="0" xfId="14" applyFont="1" applyFill="1" applyAlignment="1">
      <alignment horizontal="center"/>
    </xf>
    <xf numFmtId="0" fontId="40" fillId="0" borderId="0" xfId="14" applyFont="1" applyFill="1" applyAlignment="1">
      <alignment horizontal="center"/>
    </xf>
    <xf numFmtId="167" fontId="7" fillId="0" borderId="0" xfId="16" applyFont="1" applyFill="1" applyBorder="1" applyAlignment="1" applyProtection="1">
      <alignment horizontal="center"/>
    </xf>
    <xf numFmtId="0" fontId="4" fillId="0" borderId="19" xfId="0" applyFont="1" applyFill="1" applyBorder="1"/>
    <xf numFmtId="0" fontId="4" fillId="0" borderId="20" xfId="0" applyFont="1" applyFill="1" applyBorder="1"/>
    <xf numFmtId="0" fontId="4" fillId="0" borderId="21" xfId="0" applyFont="1" applyFill="1" applyBorder="1"/>
    <xf numFmtId="0" fontId="4" fillId="0" borderId="22" xfId="0" applyFont="1" applyFill="1" applyBorder="1"/>
    <xf numFmtId="0" fontId="4" fillId="0" borderId="23" xfId="0" applyFont="1" applyFill="1" applyBorder="1"/>
    <xf numFmtId="0" fontId="4" fillId="0" borderId="24" xfId="0" applyFont="1" applyFill="1" applyBorder="1"/>
    <xf numFmtId="0" fontId="4" fillId="0" borderId="25" xfId="0" applyFont="1" applyFill="1" applyBorder="1"/>
    <xf numFmtId="37" fontId="5" fillId="0" borderId="0" xfId="0" applyNumberFormat="1" applyFont="1" applyFill="1" applyAlignment="1"/>
    <xf numFmtId="37" fontId="4" fillId="0" borderId="0" xfId="0" applyNumberFormat="1" applyFont="1" applyFill="1" applyAlignment="1"/>
    <xf numFmtId="37" fontId="5" fillId="0" borderId="1" xfId="0" applyNumberFormat="1" applyFont="1" applyFill="1" applyBorder="1" applyAlignment="1"/>
    <xf numFmtId="37" fontId="4" fillId="0" borderId="1" xfId="0" applyNumberFormat="1" applyFont="1" applyFill="1" applyBorder="1" applyAlignment="1">
      <alignment horizontal="right"/>
    </xf>
    <xf numFmtId="0" fontId="10" fillId="0" borderId="26" xfId="0" applyFont="1" applyFill="1" applyBorder="1"/>
    <xf numFmtId="0" fontId="0" fillId="0" borderId="0" xfId="0" applyAlignment="1"/>
    <xf numFmtId="167" fontId="4" fillId="3" borderId="0" xfId="10" applyFont="1" applyFill="1" applyBorder="1" applyAlignment="1">
      <alignment horizontal="left"/>
    </xf>
    <xf numFmtId="167" fontId="29" fillId="3" borderId="0" xfId="10" applyFont="1" applyFill="1"/>
    <xf numFmtId="167" fontId="29" fillId="3" borderId="1" xfId="10" applyFont="1" applyFill="1" applyBorder="1"/>
    <xf numFmtId="37" fontId="6" fillId="6" borderId="0" xfId="0" applyNumberFormat="1" applyFont="1" applyFill="1"/>
    <xf numFmtId="37" fontId="10" fillId="0" borderId="1" xfId="0" applyNumberFormat="1" applyFont="1" applyFill="1" applyBorder="1" applyAlignment="1">
      <alignment horizontal="center"/>
    </xf>
    <xf numFmtId="167" fontId="19" fillId="0" borderId="0" xfId="10" applyFont="1" applyFill="1"/>
    <xf numFmtId="0" fontId="33" fillId="0" borderId="0" xfId="13" applyNumberFormat="1" applyFont="1" applyBorder="1"/>
    <xf numFmtId="38" fontId="1" fillId="0" borderId="0" xfId="0" applyNumberFormat="1" applyFont="1" applyFill="1" applyAlignment="1">
      <alignment horizontal="center"/>
    </xf>
    <xf numFmtId="38" fontId="0" fillId="0" borderId="0" xfId="0" applyNumberFormat="1" applyFont="1" applyFill="1" applyAlignment="1">
      <alignment horizontal="center"/>
    </xf>
    <xf numFmtId="0" fontId="4" fillId="0" borderId="0" xfId="18" applyFont="1" applyFill="1"/>
    <xf numFmtId="0" fontId="7" fillId="0" borderId="0" xfId="18" applyFont="1" applyFill="1" applyAlignment="1">
      <alignment horizontal="center"/>
    </xf>
    <xf numFmtId="37" fontId="4" fillId="3" borderId="1" xfId="0" quotePrefix="1" applyNumberFormat="1" applyFont="1" applyFill="1" applyBorder="1" applyAlignment="1" applyProtection="1">
      <alignment horizontal="center"/>
    </xf>
    <xf numFmtId="0" fontId="19" fillId="0" borderId="0" xfId="0" applyFont="1" applyFill="1"/>
    <xf numFmtId="0" fontId="4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14" applyFont="1" applyFill="1" applyAlignment="1">
      <alignment horizontal="center"/>
    </xf>
    <xf numFmtId="0" fontId="45" fillId="0" borderId="0" xfId="14" quotePrefix="1" applyFont="1" applyFill="1" applyAlignment="1">
      <alignment horizontal="center"/>
    </xf>
    <xf numFmtId="0" fontId="45" fillId="0" borderId="0" xfId="14" applyFont="1" applyFill="1" applyAlignment="1">
      <alignment horizontal="center"/>
    </xf>
    <xf numFmtId="10" fontId="4" fillId="0" borderId="1" xfId="19" applyNumberFormat="1" applyFont="1" applyFill="1" applyBorder="1"/>
    <xf numFmtId="10" fontId="4" fillId="0" borderId="0" xfId="19" applyNumberFormat="1" applyFont="1" applyFill="1"/>
    <xf numFmtId="167" fontId="5" fillId="0" borderId="0" xfId="6" applyFont="1" applyFill="1" applyAlignment="1" applyProtection="1">
      <alignment horizontal="center"/>
      <protection locked="0"/>
    </xf>
    <xf numFmtId="37" fontId="4" fillId="0" borderId="0" xfId="5" applyFont="1" applyFill="1" applyAlignment="1"/>
    <xf numFmtId="0" fontId="4" fillId="0" borderId="0" xfId="0" applyFont="1" applyFill="1" applyBorder="1" applyAlignment="1"/>
    <xf numFmtId="167" fontId="1" fillId="0" borderId="0" xfId="6" applyFont="1" applyFill="1"/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40" fontId="15" fillId="0" borderId="0" xfId="0" applyNumberFormat="1" applyFont="1"/>
    <xf numFmtId="166" fontId="47" fillId="3" borderId="0" xfId="1" applyNumberFormat="1" applyFont="1" applyFill="1"/>
    <xf numFmtId="166" fontId="47" fillId="0" borderId="0" xfId="1" applyNumberFormat="1" applyFont="1" applyFill="1"/>
    <xf numFmtId="37" fontId="1" fillId="0" borderId="0" xfId="0" applyNumberFormat="1" applyFont="1" applyFill="1"/>
    <xf numFmtId="0" fontId="15" fillId="0" borderId="0" xfId="0" applyFont="1" applyAlignment="1">
      <alignment horizontal="left" indent="1"/>
    </xf>
    <xf numFmtId="0" fontId="15" fillId="0" borderId="0" xfId="0" applyFont="1" applyAlignment="1">
      <alignment horizontal="left" indent="2"/>
    </xf>
    <xf numFmtId="37" fontId="5" fillId="0" borderId="0" xfId="0" applyNumberFormat="1" applyFont="1" applyFill="1" applyBorder="1" applyAlignment="1">
      <alignment horizontal="right"/>
    </xf>
    <xf numFmtId="3" fontId="1" fillId="7" borderId="0" xfId="0" applyNumberFormat="1" applyFont="1" applyFill="1"/>
    <xf numFmtId="3" fontId="1" fillId="7" borderId="0" xfId="0" applyNumberFormat="1" applyFont="1" applyFill="1" applyAlignment="1">
      <alignment horizontal="left" indent="4"/>
    </xf>
    <xf numFmtId="38" fontId="1" fillId="7" borderId="0" xfId="0" applyNumberFormat="1" applyFont="1" applyFill="1"/>
    <xf numFmtId="40" fontId="0" fillId="0" borderId="0" xfId="0" applyNumberFormat="1"/>
    <xf numFmtId="3" fontId="10" fillId="0" borderId="0" xfId="21" applyFont="1" applyFill="1" applyAlignment="1">
      <alignment horizontal="left"/>
    </xf>
    <xf numFmtId="3" fontId="1" fillId="0" borderId="0" xfId="21" applyNumberFormat="1" applyFont="1" applyFill="1" applyAlignment="1"/>
    <xf numFmtId="3" fontId="1" fillId="0" borderId="0" xfId="21" applyNumberFormat="1" applyFill="1" applyAlignment="1"/>
    <xf numFmtId="3" fontId="7" fillId="0" borderId="0" xfId="21" applyFont="1" applyFill="1" applyAlignment="1">
      <alignment horizontal="center"/>
    </xf>
    <xf numFmtId="3" fontId="1" fillId="0" borderId="0" xfId="21" applyFill="1" applyAlignment="1"/>
    <xf numFmtId="3" fontId="1" fillId="0" borderId="0" xfId="21" applyNumberFormat="1" applyFont="1" applyFill="1" applyAlignment="1">
      <alignment horizontal="left"/>
    </xf>
    <xf numFmtId="3" fontId="1" fillId="0" borderId="0" xfId="21" applyNumberFormat="1" applyFont="1" applyFill="1" applyAlignment="1" applyProtection="1">
      <protection locked="0"/>
    </xf>
    <xf numFmtId="0" fontId="1" fillId="0" borderId="0" xfId="0" applyFont="1" applyFill="1" applyAlignment="1"/>
    <xf numFmtId="3" fontId="1" fillId="0" borderId="0" xfId="21" applyNumberFormat="1" applyFont="1" applyAlignment="1" applyProtection="1">
      <protection locked="0"/>
    </xf>
    <xf numFmtId="3" fontId="1" fillId="0" borderId="0" xfId="21" applyNumberFormat="1" applyFont="1" applyAlignment="1"/>
    <xf numFmtId="3" fontId="1" fillId="0" borderId="0" xfId="21" applyFont="1" applyAlignment="1"/>
    <xf numFmtId="3" fontId="7" fillId="0" borderId="0" xfId="21" applyFont="1" applyAlignment="1">
      <alignment horizontal="center"/>
    </xf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/>
    </xf>
    <xf numFmtId="10" fontId="1" fillId="0" borderId="0" xfId="19" applyNumberFormat="1" applyFont="1" applyFill="1" applyAlignment="1">
      <alignment horizontal="right"/>
    </xf>
    <xf numFmtId="166" fontId="1" fillId="9" borderId="0" xfId="1" applyNumberFormat="1" applyFont="1" applyFill="1"/>
    <xf numFmtId="37" fontId="4" fillId="9" borderId="0" xfId="0" applyNumberFormat="1" applyFont="1" applyFill="1" applyAlignment="1" applyProtection="1">
      <alignment horizontal="left"/>
      <protection locked="0"/>
    </xf>
    <xf numFmtId="37" fontId="4" fillId="9" borderId="0" xfId="0" applyNumberFormat="1" applyFont="1" applyFill="1"/>
    <xf numFmtId="37" fontId="5" fillId="9" borderId="0" xfId="0" applyNumberFormat="1" applyFont="1" applyFill="1"/>
    <xf numFmtId="0" fontId="4" fillId="9" borderId="0" xfId="0" applyFont="1" applyFill="1"/>
    <xf numFmtId="170" fontId="4" fillId="9" borderId="0" xfId="0" applyNumberFormat="1" applyFont="1" applyFill="1" applyAlignment="1" applyProtection="1">
      <alignment horizontal="left"/>
      <protection locked="0"/>
    </xf>
    <xf numFmtId="1" fontId="4" fillId="9" borderId="0" xfId="0" applyNumberFormat="1" applyFont="1" applyFill="1" applyAlignment="1" applyProtection="1">
      <alignment horizontal="left"/>
      <protection locked="0"/>
    </xf>
    <xf numFmtId="37" fontId="4" fillId="9" borderId="0" xfId="0" quotePrefix="1" applyNumberFormat="1" applyFont="1" applyFill="1" applyAlignment="1" applyProtection="1">
      <alignment horizontal="left"/>
      <protection locked="0"/>
    </xf>
    <xf numFmtId="37" fontId="4" fillId="9" borderId="0" xfId="0" quotePrefix="1" applyNumberFormat="1" applyFont="1" applyFill="1" applyAlignment="1">
      <alignment horizontal="left"/>
    </xf>
    <xf numFmtId="37" fontId="5" fillId="9" borderId="1" xfId="0" applyNumberFormat="1" applyFont="1" applyFill="1" applyBorder="1"/>
    <xf numFmtId="37" fontId="4" fillId="9" borderId="0" xfId="0" applyNumberFormat="1" applyFont="1" applyFill="1" applyBorder="1"/>
    <xf numFmtId="1" fontId="4" fillId="9" borderId="0" xfId="0" quotePrefix="1" applyNumberFormat="1" applyFont="1" applyFill="1" applyAlignment="1" applyProtection="1">
      <alignment horizontal="left"/>
      <protection locked="0"/>
    </xf>
    <xf numFmtId="0" fontId="4" fillId="9" borderId="0" xfId="0" applyFont="1" applyFill="1" applyAlignment="1">
      <alignment horizontal="right"/>
    </xf>
    <xf numFmtId="37" fontId="10" fillId="9" borderId="0" xfId="0" applyNumberFormat="1" applyFont="1" applyFill="1"/>
    <xf numFmtId="171" fontId="4" fillId="9" borderId="0" xfId="0" applyNumberFormat="1" applyFont="1" applyFill="1" applyAlignment="1" applyProtection="1">
      <alignment horizontal="left"/>
      <protection locked="0"/>
    </xf>
    <xf numFmtId="1" fontId="4" fillId="9" borderId="0" xfId="0" applyNumberFormat="1" applyFont="1" applyFill="1" applyAlignment="1">
      <alignment horizontal="left"/>
    </xf>
    <xf numFmtId="37" fontId="4" fillId="9" borderId="1" xfId="0" applyNumberFormat="1" applyFont="1" applyFill="1" applyBorder="1"/>
    <xf numFmtId="166" fontId="5" fillId="9" borderId="0" xfId="1" applyNumberFormat="1" applyFont="1" applyFill="1" applyBorder="1"/>
    <xf numFmtId="37" fontId="5" fillId="9" borderId="0" xfId="0" applyNumberFormat="1" applyFont="1" applyFill="1" applyBorder="1"/>
    <xf numFmtId="174" fontId="4" fillId="9" borderId="0" xfId="0" applyNumberFormat="1" applyFont="1" applyFill="1" applyAlignment="1">
      <alignment horizontal="left"/>
    </xf>
    <xf numFmtId="166" fontId="4" fillId="9" borderId="0" xfId="0" applyNumberFormat="1" applyFont="1" applyFill="1" applyAlignment="1">
      <alignment horizontal="center"/>
    </xf>
    <xf numFmtId="37" fontId="4" fillId="9" borderId="0" xfId="0" applyNumberFormat="1" applyFont="1" applyFill="1" applyAlignment="1">
      <alignment horizontal="left"/>
    </xf>
    <xf numFmtId="37" fontId="4" fillId="9" borderId="9" xfId="0" applyNumberFormat="1" applyFont="1" applyFill="1" applyBorder="1"/>
    <xf numFmtId="0" fontId="4" fillId="9" borderId="0" xfId="0" applyFont="1" applyFill="1" applyAlignment="1"/>
    <xf numFmtId="0" fontId="9" fillId="9" borderId="0" xfId="0" applyFont="1" applyFill="1"/>
    <xf numFmtId="0" fontId="4" fillId="9" borderId="21" xfId="0" applyFont="1" applyFill="1" applyBorder="1"/>
    <xf numFmtId="0" fontId="4" fillId="9" borderId="0" xfId="0" applyFont="1" applyFill="1" applyBorder="1"/>
    <xf numFmtId="0" fontId="9" fillId="9" borderId="0" xfId="0" applyFont="1" applyFill="1" applyBorder="1"/>
    <xf numFmtId="0" fontId="4" fillId="9" borderId="0" xfId="0" quotePrefix="1" applyFont="1" applyFill="1" applyBorder="1" applyAlignment="1">
      <alignment horizontal="left"/>
    </xf>
    <xf numFmtId="166" fontId="4" fillId="9" borderId="22" xfId="1" applyNumberFormat="1" applyFont="1" applyFill="1" applyBorder="1"/>
    <xf numFmtId="0" fontId="4" fillId="9" borderId="23" xfId="0" applyFont="1" applyFill="1" applyBorder="1"/>
    <xf numFmtId="0" fontId="4" fillId="9" borderId="24" xfId="0" applyFont="1" applyFill="1" applyBorder="1"/>
    <xf numFmtId="0" fontId="4" fillId="9" borderId="25" xfId="0" applyFont="1" applyFill="1" applyBorder="1"/>
    <xf numFmtId="166" fontId="4" fillId="9" borderId="0" xfId="0" applyNumberFormat="1" applyFont="1" applyFill="1"/>
    <xf numFmtId="37" fontId="4" fillId="9" borderId="24" xfId="0" quotePrefix="1" applyNumberFormat="1" applyFont="1" applyFill="1" applyBorder="1" applyAlignment="1">
      <alignment horizontal="left"/>
    </xf>
    <xf numFmtId="0" fontId="41" fillId="9" borderId="21" xfId="0" applyFont="1" applyFill="1" applyBorder="1"/>
    <xf numFmtId="0" fontId="41" fillId="9" borderId="14" xfId="0" applyFont="1" applyFill="1" applyBorder="1" applyAlignment="1"/>
    <xf numFmtId="0" fontId="4" fillId="9" borderId="10" xfId="0" applyFont="1" applyFill="1" applyBorder="1" applyAlignment="1"/>
    <xf numFmtId="0" fontId="4" fillId="9" borderId="15" xfId="0" applyFont="1" applyFill="1" applyBorder="1" applyAlignment="1"/>
    <xf numFmtId="0" fontId="4" fillId="9" borderId="27" xfId="0" applyFont="1" applyFill="1" applyBorder="1"/>
    <xf numFmtId="38" fontId="1" fillId="9" borderId="16" xfId="0" applyNumberFormat="1" applyFont="1" applyFill="1" applyBorder="1"/>
    <xf numFmtId="166" fontId="4" fillId="9" borderId="16" xfId="1" applyNumberFormat="1" applyFont="1" applyFill="1" applyBorder="1"/>
    <xf numFmtId="0" fontId="4" fillId="9" borderId="16" xfId="0" applyFont="1" applyFill="1" applyBorder="1"/>
    <xf numFmtId="0" fontId="4" fillId="9" borderId="3" xfId="0" applyFont="1" applyFill="1" applyBorder="1"/>
    <xf numFmtId="0" fontId="4" fillId="9" borderId="1" xfId="0" applyFont="1" applyFill="1" applyBorder="1"/>
    <xf numFmtId="0" fontId="4" fillId="9" borderId="8" xfId="0" applyFont="1" applyFill="1" applyBorder="1"/>
    <xf numFmtId="37" fontId="6" fillId="0" borderId="24" xfId="0" applyNumberFormat="1" applyFont="1" applyFill="1" applyBorder="1"/>
    <xf numFmtId="37" fontId="6" fillId="6" borderId="24" xfId="0" applyNumberFormat="1" applyFont="1" applyFill="1" applyBorder="1"/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 applyProtection="1">
      <alignment horizontal="left"/>
    </xf>
    <xf numFmtId="0" fontId="1" fillId="0" borderId="1" xfId="0" applyFont="1" applyFill="1" applyBorder="1" applyAlignment="1">
      <alignment horizontal="center"/>
    </xf>
    <xf numFmtId="166" fontId="6" fillId="9" borderId="0" xfId="1" applyNumberFormat="1" applyFont="1" applyFill="1"/>
    <xf numFmtId="166" fontId="6" fillId="9" borderId="1" xfId="1" applyNumberFormat="1" applyFont="1" applyFill="1" applyBorder="1"/>
    <xf numFmtId="166" fontId="6" fillId="9" borderId="0" xfId="1" applyNumberFormat="1" applyFont="1" applyFill="1" applyBorder="1"/>
    <xf numFmtId="0" fontId="1" fillId="0" borderId="0" xfId="0" applyNumberFormat="1" applyFont="1" applyFill="1" applyBorder="1" applyAlignment="1">
      <alignment horizontal="left"/>
    </xf>
    <xf numFmtId="3" fontId="0" fillId="0" borderId="0" xfId="0" applyNumberFormat="1" applyFont="1" applyFill="1" applyAlignment="1"/>
    <xf numFmtId="3" fontId="0" fillId="0" borderId="0" xfId="0" applyNumberFormat="1" applyFont="1" applyFill="1" applyAlignment="1">
      <alignment horizontal="centerContinuous"/>
    </xf>
    <xf numFmtId="0" fontId="0" fillId="0" borderId="0" xfId="0" applyFont="1" applyFill="1" applyAlignment="1">
      <alignment horizontal="center"/>
    </xf>
    <xf numFmtId="3" fontId="0" fillId="0" borderId="17" xfId="0" applyNumberFormat="1" applyFont="1" applyFill="1" applyBorder="1" applyAlignment="1"/>
    <xf numFmtId="37" fontId="0" fillId="0" borderId="0" xfId="0" applyNumberFormat="1" applyFont="1" applyFill="1" applyAlignment="1"/>
    <xf numFmtId="0" fontId="0" fillId="0" borderId="0" xfId="0" applyFont="1" applyFill="1" applyAlignment="1"/>
    <xf numFmtId="37" fontId="0" fillId="0" borderId="17" xfId="0" applyNumberFormat="1" applyFont="1" applyFill="1" applyBorder="1" applyAlignment="1"/>
    <xf numFmtId="37" fontId="0" fillId="0" borderId="18" xfId="0" applyNumberFormat="1" applyFont="1" applyFill="1" applyBorder="1" applyAlignment="1"/>
    <xf numFmtId="37" fontId="0" fillId="8" borderId="0" xfId="0" applyNumberFormat="1" applyFont="1" applyFill="1" applyAlignment="1"/>
    <xf numFmtId="37" fontId="0" fillId="0" borderId="0" xfId="0" applyNumberFormat="1" applyFill="1" applyAlignment="1"/>
    <xf numFmtId="3" fontId="0" fillId="0" borderId="0" xfId="0" applyNumberFormat="1" applyFont="1" applyAlignment="1" applyProtection="1">
      <protection locked="0"/>
    </xf>
    <xf numFmtId="3" fontId="0" fillId="0" borderId="0" xfId="0" applyNumberFormat="1" applyFont="1" applyAlignment="1"/>
    <xf numFmtId="0" fontId="7" fillId="0" borderId="0" xfId="0" applyFont="1" applyAlignment="1">
      <alignment horizontal="center"/>
    </xf>
    <xf numFmtId="3" fontId="0" fillId="0" borderId="0" xfId="0" applyNumberFormat="1" applyFont="1" applyAlignment="1">
      <alignment horizontal="centerContinuous"/>
    </xf>
    <xf numFmtId="3" fontId="1" fillId="0" borderId="0" xfId="0" applyNumberFormat="1" applyFont="1" applyFill="1" applyAlignment="1">
      <alignment horizontal="centerContinuous"/>
    </xf>
    <xf numFmtId="3" fontId="0" fillId="0" borderId="17" xfId="0" applyNumberFormat="1" applyFont="1" applyBorder="1" applyAlignment="1"/>
    <xf numFmtId="0" fontId="0" fillId="0" borderId="0" xfId="0" applyFont="1" applyFill="1" applyAlignment="1">
      <alignment horizontal="left"/>
    </xf>
    <xf numFmtId="37" fontId="1" fillId="0" borderId="0" xfId="0" applyNumberFormat="1" applyFont="1" applyFill="1" applyAlignment="1"/>
    <xf numFmtId="0" fontId="0" fillId="0" borderId="0" xfId="0" applyFill="1"/>
    <xf numFmtId="0" fontId="0" fillId="9" borderId="0" xfId="0" quotePrefix="1" applyFill="1" applyAlignment="1">
      <alignment horizontal="left"/>
    </xf>
    <xf numFmtId="0" fontId="0" fillId="9" borderId="0" xfId="0" applyFill="1"/>
    <xf numFmtId="37" fontId="0" fillId="9" borderId="0" xfId="0" applyNumberFormat="1" applyFill="1"/>
    <xf numFmtId="6" fontId="5" fillId="9" borderId="0" xfId="0" applyNumberFormat="1" applyFont="1" applyFill="1"/>
    <xf numFmtId="166" fontId="5" fillId="9" borderId="0" xfId="1" applyNumberFormat="1" applyFont="1" applyFill="1"/>
    <xf numFmtId="38" fontId="5" fillId="9" borderId="0" xfId="0" applyNumberFormat="1" applyFont="1" applyFill="1"/>
    <xf numFmtId="38" fontId="4" fillId="9" borderId="0" xfId="0" applyNumberFormat="1" applyFont="1" applyFill="1"/>
    <xf numFmtId="37" fontId="6" fillId="9" borderId="0" xfId="0" applyNumberFormat="1" applyFont="1" applyFill="1"/>
    <xf numFmtId="37" fontId="0" fillId="9" borderId="1" xfId="0" applyNumberFormat="1" applyFill="1" applyBorder="1"/>
    <xf numFmtId="166" fontId="0" fillId="0" borderId="0" xfId="1" applyNumberFormat="1" applyFont="1" applyBorder="1"/>
    <xf numFmtId="166" fontId="51" fillId="9" borderId="1" xfId="1" applyNumberFormat="1" applyFont="1" applyFill="1" applyBorder="1"/>
    <xf numFmtId="166" fontId="6" fillId="9" borderId="0" xfId="1" applyNumberFormat="1" applyFont="1" applyFill="1" applyProtection="1">
      <protection locked="0"/>
    </xf>
    <xf numFmtId="166" fontId="6" fillId="9" borderId="1" xfId="1" applyNumberFormat="1" applyFont="1" applyFill="1" applyBorder="1" applyProtection="1">
      <protection locked="0"/>
    </xf>
    <xf numFmtId="37" fontId="5" fillId="9" borderId="0" xfId="1" applyNumberFormat="1" applyFont="1" applyFill="1"/>
    <xf numFmtId="166" fontId="4" fillId="9" borderId="0" xfId="1" applyNumberFormat="1" applyFont="1" applyFill="1" applyAlignment="1">
      <alignment horizontal="center"/>
    </xf>
    <xf numFmtId="166" fontId="4" fillId="9" borderId="0" xfId="1" applyNumberFormat="1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166" fontId="5" fillId="0" borderId="0" xfId="1" applyNumberFormat="1" applyFont="1" applyFill="1" applyAlignment="1"/>
    <xf numFmtId="166" fontId="37" fillId="10" borderId="0" xfId="13" applyNumberFormat="1" applyFont="1" applyFill="1" applyBorder="1"/>
    <xf numFmtId="0" fontId="36" fillId="9" borderId="0" xfId="13" applyFont="1" applyFill="1" applyAlignment="1">
      <alignment horizontal="center"/>
    </xf>
    <xf numFmtId="166" fontId="37" fillId="9" borderId="0" xfId="13" applyNumberFormat="1" applyFont="1" applyFill="1" applyBorder="1"/>
    <xf numFmtId="166" fontId="37" fillId="10" borderId="0" xfId="13" applyNumberFormat="1" applyFont="1" applyFill="1"/>
    <xf numFmtId="166" fontId="6" fillId="9" borderId="22" xfId="1" applyNumberFormat="1" applyFont="1" applyFill="1" applyBorder="1"/>
    <xf numFmtId="17" fontId="51" fillId="0" borderId="0" xfId="6" quotePrefix="1" applyNumberFormat="1" applyFont="1" applyFill="1" applyAlignment="1" applyProtection="1">
      <alignment horizontal="left"/>
    </xf>
    <xf numFmtId="37" fontId="5" fillId="0" borderId="0" xfId="16" applyNumberFormat="1" applyFont="1" applyFill="1" applyBorder="1" applyAlignment="1" applyProtection="1">
      <alignment horizontal="center"/>
      <protection locked="0"/>
    </xf>
    <xf numFmtId="37" fontId="5" fillId="0" borderId="0" xfId="16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44" fontId="10" fillId="0" borderId="0" xfId="3" applyFont="1" applyAlignment="1">
      <alignment horizontal="center"/>
    </xf>
    <xf numFmtId="166" fontId="51" fillId="0" borderId="0" xfId="1" applyNumberFormat="1" applyFont="1" applyFill="1"/>
    <xf numFmtId="173" fontId="51" fillId="0" borderId="0" xfId="0" applyNumberFormat="1" applyFont="1" applyFill="1" applyAlignment="1">
      <alignment horizontal="right"/>
    </xf>
    <xf numFmtId="166" fontId="5" fillId="0" borderId="0" xfId="1" applyNumberFormat="1" applyFont="1" applyFill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9" borderId="0" xfId="0" applyFont="1" applyFill="1" applyAlignment="1" applyProtection="1">
      <alignment horizontal="left"/>
    </xf>
    <xf numFmtId="0" fontId="42" fillId="9" borderId="0" xfId="0" applyFont="1" applyFill="1" applyAlignment="1" applyProtection="1">
      <alignment horizontal="left"/>
    </xf>
    <xf numFmtId="37" fontId="4" fillId="9" borderId="0" xfId="0" applyNumberFormat="1" applyFont="1" applyFill="1" applyProtection="1">
      <protection locked="0"/>
    </xf>
    <xf numFmtId="0" fontId="1" fillId="9" borderId="0" xfId="0" applyFont="1" applyFill="1"/>
    <xf numFmtId="0" fontId="1" fillId="9" borderId="0" xfId="0" applyFont="1" applyFill="1" applyBorder="1"/>
    <xf numFmtId="0" fontId="1" fillId="9" borderId="0" xfId="0" applyFont="1" applyFill="1" applyAlignment="1" applyProtection="1">
      <alignment horizontal="left"/>
    </xf>
    <xf numFmtId="37" fontId="4" fillId="9" borderId="0" xfId="0" applyNumberFormat="1" applyFont="1" applyFill="1" applyBorder="1" applyProtection="1">
      <protection locked="0"/>
    </xf>
    <xf numFmtId="0" fontId="29" fillId="9" borderId="0" xfId="0" applyFont="1" applyFill="1"/>
    <xf numFmtId="0" fontId="14" fillId="9" borderId="0" xfId="18" applyFont="1" applyFill="1"/>
    <xf numFmtId="17" fontId="19" fillId="9" borderId="0" xfId="6" applyNumberFormat="1" applyFont="1" applyFill="1" applyAlignment="1" applyProtection="1">
      <alignment horizontal="left"/>
    </xf>
    <xf numFmtId="0" fontId="34" fillId="0" borderId="0" xfId="0" applyFont="1" applyFill="1" applyAlignment="1">
      <alignment horizontal="left"/>
    </xf>
    <xf numFmtId="0" fontId="34" fillId="0" borderId="0" xfId="0" applyFont="1" applyFill="1" applyAlignment="1"/>
    <xf numFmtId="37" fontId="4" fillId="9" borderId="0" xfId="11" applyFont="1" applyFill="1"/>
    <xf numFmtId="37" fontId="4" fillId="9" borderId="0" xfId="11" applyFont="1" applyFill="1" applyAlignment="1">
      <alignment horizontal="right"/>
    </xf>
    <xf numFmtId="37" fontId="4" fillId="9" borderId="0" xfId="11" applyFont="1" applyFill="1" applyAlignment="1" applyProtection="1">
      <alignment horizontal="left"/>
    </xf>
    <xf numFmtId="177" fontId="4" fillId="9" borderId="0" xfId="12" applyNumberFormat="1" applyFont="1" applyFill="1" applyAlignment="1" applyProtection="1">
      <alignment horizontal="right"/>
      <protection locked="0"/>
    </xf>
    <xf numFmtId="37" fontId="7" fillId="9" borderId="0" xfId="11" applyFont="1" applyFill="1" applyAlignment="1" applyProtection="1">
      <alignment horizontal="left"/>
    </xf>
    <xf numFmtId="10" fontId="4" fillId="9" borderId="0" xfId="12" applyNumberFormat="1" applyFont="1" applyFill="1" applyAlignment="1" applyProtection="1">
      <alignment horizontal="right"/>
      <protection locked="0"/>
    </xf>
    <xf numFmtId="178" fontId="5" fillId="9" borderId="0" xfId="19" applyNumberFormat="1" applyFont="1" applyFill="1"/>
    <xf numFmtId="178" fontId="4" fillId="9" borderId="0" xfId="19" applyNumberFormat="1" applyFont="1" applyFill="1"/>
    <xf numFmtId="37" fontId="4" fillId="9" borderId="0" xfId="11" quotePrefix="1" applyFont="1" applyFill="1" applyAlignment="1">
      <alignment horizontal="left"/>
    </xf>
    <xf numFmtId="37" fontId="4" fillId="9" borderId="0" xfId="11" applyFont="1" applyFill="1" applyAlignment="1">
      <alignment horizontal="right" vertical="top"/>
    </xf>
    <xf numFmtId="178" fontId="5" fillId="9" borderId="0" xfId="19" applyNumberFormat="1" applyFont="1" applyFill="1" applyAlignment="1">
      <alignment vertical="top"/>
    </xf>
    <xf numFmtId="37" fontId="7" fillId="9" borderId="0" xfId="11" applyFont="1" applyFill="1"/>
    <xf numFmtId="178" fontId="5" fillId="9" borderId="1" xfId="19" applyNumberFormat="1" applyFont="1" applyFill="1" applyBorder="1"/>
    <xf numFmtId="37" fontId="5" fillId="9" borderId="0" xfId="11" applyFont="1" applyFill="1"/>
    <xf numFmtId="0" fontId="4" fillId="9" borderId="0" xfId="0" quotePrefix="1" applyFont="1" applyFill="1"/>
    <xf numFmtId="0" fontId="0" fillId="9" borderId="0" xfId="0" applyFill="1"/>
    <xf numFmtId="37" fontId="0" fillId="0" borderId="11" xfId="0" applyNumberFormat="1" applyFont="1" applyFill="1" applyBorder="1" applyAlignment="1"/>
    <xf numFmtId="0" fontId="10" fillId="9" borderId="0" xfId="12" applyNumberFormat="1" applyFont="1" applyFill="1" applyBorder="1" applyAlignment="1" applyProtection="1">
      <alignment vertical="center"/>
      <protection locked="0"/>
    </xf>
    <xf numFmtId="0" fontId="9" fillId="9" borderId="0" xfId="0" applyFont="1" applyFill="1" applyAlignment="1"/>
    <xf numFmtId="0" fontId="25" fillId="9" borderId="0" xfId="7" applyFont="1" applyFill="1"/>
    <xf numFmtId="0" fontId="4" fillId="9" borderId="0" xfId="12" applyNumberFormat="1" applyFont="1" applyFill="1" applyBorder="1" applyAlignment="1" applyProtection="1">
      <protection locked="0"/>
    </xf>
    <xf numFmtId="0" fontId="10" fillId="9" borderId="0" xfId="7" applyFont="1" applyFill="1" applyAlignment="1">
      <alignment horizontal="center" wrapText="1"/>
    </xf>
    <xf numFmtId="41" fontId="10" fillId="9" borderId="0" xfId="7" applyNumberFormat="1" applyFont="1" applyFill="1" applyBorder="1" applyAlignment="1">
      <alignment horizontal="center" wrapText="1"/>
    </xf>
    <xf numFmtId="0" fontId="4" fillId="9" borderId="0" xfId="7" applyFont="1" applyFill="1" applyAlignment="1">
      <alignment horizontal="left"/>
    </xf>
    <xf numFmtId="166" fontId="4" fillId="9" borderId="0" xfId="19" applyNumberFormat="1" applyFont="1" applyFill="1" applyBorder="1"/>
    <xf numFmtId="0" fontId="0" fillId="9" borderId="0" xfId="0" applyFill="1"/>
    <xf numFmtId="0" fontId="27" fillId="9" borderId="0" xfId="0" applyFont="1" applyFill="1"/>
    <xf numFmtId="0" fontId="0" fillId="9" borderId="0" xfId="0" applyFill="1" applyAlignment="1">
      <alignment horizontal="right"/>
    </xf>
    <xf numFmtId="0" fontId="34" fillId="9" borderId="0" xfId="0" applyFont="1" applyFill="1"/>
    <xf numFmtId="0" fontId="34" fillId="9" borderId="0" xfId="0" applyFont="1" applyFill="1" applyAlignment="1">
      <alignment horizontal="center"/>
    </xf>
    <xf numFmtId="0" fontId="34" fillId="9" borderId="0" xfId="0" applyFont="1" applyFill="1" applyAlignment="1">
      <alignment horizontal="left"/>
    </xf>
    <xf numFmtId="0" fontId="49" fillId="9" borderId="0" xfId="18" applyFont="1" applyFill="1" applyAlignment="1">
      <alignment horizontal="center"/>
    </xf>
    <xf numFmtId="0" fontId="34" fillId="9" borderId="0" xfId="20" applyFont="1" applyFill="1"/>
    <xf numFmtId="180" fontId="48" fillId="9" borderId="0" xfId="20" applyNumberFormat="1" applyFont="1" applyFill="1"/>
    <xf numFmtId="180" fontId="34" fillId="9" borderId="0" xfId="20" applyNumberFormat="1" applyFont="1" applyFill="1"/>
    <xf numFmtId="179" fontId="34" fillId="9" borderId="0" xfId="1" applyNumberFormat="1" applyFont="1" applyFill="1"/>
    <xf numFmtId="37" fontId="34" fillId="9" borderId="0" xfId="0" applyNumberFormat="1" applyFont="1" applyFill="1" applyAlignment="1">
      <alignment horizontal="center"/>
    </xf>
    <xf numFmtId="37" fontId="34" fillId="9" borderId="0" xfId="0" applyNumberFormat="1" applyFont="1" applyFill="1" applyBorder="1"/>
    <xf numFmtId="171" fontId="34" fillId="9" borderId="0" xfId="0" applyNumberFormat="1" applyFont="1" applyFill="1"/>
    <xf numFmtId="37" fontId="34" fillId="9" borderId="0" xfId="0" applyNumberFormat="1" applyFont="1" applyFill="1"/>
    <xf numFmtId="0" fontId="6" fillId="9" borderId="0" xfId="0" applyFont="1" applyFill="1"/>
    <xf numFmtId="0" fontId="19" fillId="9" borderId="0" xfId="18" applyFont="1" applyFill="1"/>
    <xf numFmtId="167" fontId="4" fillId="9" borderId="0" xfId="6" applyFont="1" applyFill="1"/>
    <xf numFmtId="3" fontId="0" fillId="0" borderId="0" xfId="0" applyNumberFormat="1" applyFont="1" applyFill="1" applyAlignment="1" applyProtection="1">
      <alignment horizontal="center"/>
      <protection locked="0"/>
    </xf>
    <xf numFmtId="3" fontId="1" fillId="0" borderId="0" xfId="0" applyNumberFormat="1" applyFont="1" applyFill="1" applyAlignment="1"/>
    <xf numFmtId="0" fontId="10" fillId="0" borderId="0" xfId="0" applyFont="1" applyFill="1" applyAlignment="1">
      <alignment horizontal="left"/>
    </xf>
    <xf numFmtId="10" fontId="4" fillId="9" borderId="0" xfId="19" applyNumberFormat="1" applyFont="1" applyFill="1"/>
    <xf numFmtId="10" fontId="4" fillId="9" borderId="1" xfId="19" applyNumberFormat="1" applyFont="1" applyFill="1" applyBorder="1"/>
    <xf numFmtId="10" fontId="4" fillId="9" borderId="9" xfId="19" applyNumberFormat="1" applyFont="1" applyFill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17" xfId="0" applyBorder="1"/>
    <xf numFmtId="0" fontId="0" fillId="0" borderId="31" xfId="0" applyBorder="1"/>
    <xf numFmtId="43" fontId="0" fillId="0" borderId="0" xfId="0" applyNumberFormat="1"/>
    <xf numFmtId="0" fontId="0" fillId="0" borderId="34" xfId="0" applyBorder="1"/>
    <xf numFmtId="43" fontId="0" fillId="0" borderId="34" xfId="0" applyNumberFormat="1" applyBorder="1"/>
    <xf numFmtId="43" fontId="0" fillId="0" borderId="35" xfId="0" applyNumberFormat="1" applyBorder="1"/>
    <xf numFmtId="43" fontId="0" fillId="0" borderId="36" xfId="0" applyNumberFormat="1" applyBorder="1"/>
    <xf numFmtId="0" fontId="1" fillId="0" borderId="0" xfId="23"/>
    <xf numFmtId="0" fontId="1" fillId="0" borderId="0" xfId="0" applyFont="1" applyFill="1" applyAlignment="1">
      <alignment horizontal="center"/>
    </xf>
    <xf numFmtId="166" fontId="0" fillId="9" borderId="0" xfId="1" applyNumberFormat="1" applyFont="1" applyFill="1"/>
    <xf numFmtId="0" fontId="10" fillId="0" borderId="13" xfId="0" applyFont="1" applyBorder="1"/>
    <xf numFmtId="43" fontId="10" fillId="0" borderId="13" xfId="1" applyFont="1" applyBorder="1"/>
    <xf numFmtId="37" fontId="4" fillId="9" borderId="24" xfId="0" applyNumberFormat="1" applyFont="1" applyFill="1" applyBorder="1" applyProtection="1">
      <protection locked="0"/>
    </xf>
    <xf numFmtId="166" fontId="2" fillId="0" borderId="0" xfId="1" applyNumberFormat="1" applyFont="1" applyFill="1"/>
    <xf numFmtId="0" fontId="53" fillId="0" borderId="0" xfId="0" applyFont="1" applyAlignment="1">
      <alignment vertical="center"/>
    </xf>
    <xf numFmtId="0" fontId="53" fillId="0" borderId="0" xfId="0" applyFont="1" applyBorder="1" applyAlignment="1">
      <alignment vertical="center"/>
    </xf>
    <xf numFmtId="0" fontId="53" fillId="0" borderId="0" xfId="0" applyFont="1" applyBorder="1" applyAlignment="1">
      <alignment vertical="center" wrapText="1"/>
    </xf>
    <xf numFmtId="0" fontId="5" fillId="11" borderId="0" xfId="24" applyFont="1" applyFill="1" applyProtection="1">
      <protection locked="0"/>
    </xf>
    <xf numFmtId="166" fontId="25" fillId="0" borderId="0" xfId="24" applyNumberFormat="1" applyFont="1" applyFill="1" applyProtection="1"/>
    <xf numFmtId="0" fontId="1" fillId="0" borderId="0" xfId="0" applyFont="1" applyProtection="1"/>
    <xf numFmtId="0" fontId="25" fillId="0" borderId="0" xfId="24" applyFont="1" applyFill="1" applyProtection="1"/>
    <xf numFmtId="0" fontId="25" fillId="0" borderId="0" xfId="24" applyFont="1" applyProtection="1"/>
    <xf numFmtId="0" fontId="1" fillId="0" borderId="0" xfId="24" applyFont="1" applyFill="1" applyAlignment="1" applyProtection="1">
      <alignment horizontal="left"/>
    </xf>
    <xf numFmtId="166" fontId="1" fillId="0" borderId="0" xfId="25" applyNumberFormat="1" applyFont="1" applyFill="1" applyBorder="1" applyProtection="1"/>
    <xf numFmtId="0" fontId="1" fillId="0" borderId="24" xfId="0" applyFont="1" applyBorder="1" applyProtection="1"/>
    <xf numFmtId="0" fontId="25" fillId="0" borderId="24" xfId="24" applyFont="1" applyFill="1" applyBorder="1" applyProtection="1"/>
    <xf numFmtId="0" fontId="0" fillId="0" borderId="24" xfId="0" applyBorder="1"/>
    <xf numFmtId="0" fontId="25" fillId="0" borderId="24" xfId="24" applyFont="1" applyBorder="1" applyProtection="1"/>
    <xf numFmtId="43" fontId="0" fillId="0" borderId="0" xfId="0" applyNumberFormat="1" applyFill="1" applyBorder="1"/>
    <xf numFmtId="43" fontId="1" fillId="0" borderId="0" xfId="0" applyNumberFormat="1" applyFont="1"/>
    <xf numFmtId="0" fontId="0" fillId="12" borderId="0" xfId="0" applyFill="1"/>
    <xf numFmtId="43" fontId="0" fillId="12" borderId="0" xfId="0" applyNumberFormat="1" applyFill="1"/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0" fontId="4" fillId="0" borderId="0" xfId="19" applyNumberFormat="1" applyFont="1" applyFill="1" applyBorder="1"/>
    <xf numFmtId="0" fontId="1" fillId="9" borderId="21" xfId="0" applyFont="1" applyFill="1" applyBorder="1"/>
    <xf numFmtId="37" fontId="6" fillId="0" borderId="0" xfId="0" applyNumberFormat="1" applyFont="1" applyFill="1" applyBorder="1"/>
    <xf numFmtId="37" fontId="1" fillId="0" borderId="0" xfId="0" applyNumberFormat="1" applyFont="1" applyFill="1" applyProtection="1"/>
    <xf numFmtId="0" fontId="1" fillId="0" borderId="0" xfId="26" applyFill="1"/>
    <xf numFmtId="0" fontId="0" fillId="0" borderId="0" xfId="0" applyAlignment="1">
      <alignment horizontal="center"/>
    </xf>
    <xf numFmtId="37" fontId="0" fillId="0" borderId="0" xfId="0" applyNumberFormat="1" applyFont="1" applyFill="1" applyAlignment="1">
      <alignment horizontal="center"/>
    </xf>
    <xf numFmtId="3" fontId="0" fillId="0" borderId="0" xfId="0" applyNumberFormat="1" applyFont="1" applyFill="1" applyAlignment="1">
      <alignment horizontal="center"/>
    </xf>
    <xf numFmtId="14" fontId="7" fillId="0" borderId="0" xfId="0" applyNumberFormat="1" applyFont="1" applyFill="1" applyAlignment="1">
      <alignment horizontal="center"/>
    </xf>
    <xf numFmtId="41" fontId="5" fillId="8" borderId="0" xfId="7" applyNumberFormat="1" applyFont="1" applyFill="1" applyProtection="1">
      <protection locked="0"/>
    </xf>
    <xf numFmtId="37" fontId="1" fillId="0" borderId="0" xfId="0" applyNumberFormat="1" applyFont="1"/>
    <xf numFmtId="3" fontId="1" fillId="0" borderId="1" xfId="0" applyNumberFormat="1" applyFont="1" applyFill="1" applyBorder="1" applyAlignment="1">
      <alignment horizontal="centerContinuous"/>
    </xf>
    <xf numFmtId="182" fontId="5" fillId="9" borderId="0" xfId="7" applyNumberFormat="1" applyFont="1" applyFill="1" applyProtection="1">
      <protection locked="0"/>
    </xf>
    <xf numFmtId="41" fontId="5" fillId="9" borderId="0" xfId="7" applyNumberFormat="1" applyFont="1" applyFill="1" applyProtection="1">
      <protection locked="0"/>
    </xf>
    <xf numFmtId="37" fontId="0" fillId="9" borderId="0" xfId="0" applyNumberFormat="1" applyFont="1" applyFill="1" applyAlignment="1"/>
    <xf numFmtId="37" fontId="0" fillId="9" borderId="0" xfId="0" applyNumberFormat="1" applyFont="1" applyFill="1" applyAlignment="1">
      <alignment horizontal="center"/>
    </xf>
    <xf numFmtId="3" fontId="1" fillId="9" borderId="0" xfId="0" applyNumberFormat="1" applyFont="1" applyFill="1" applyAlignment="1">
      <alignment horizontal="center"/>
    </xf>
    <xf numFmtId="3" fontId="0" fillId="9" borderId="0" xfId="0" applyNumberFormat="1" applyFont="1" applyFill="1" applyAlignment="1"/>
    <xf numFmtId="3" fontId="0" fillId="9" borderId="0" xfId="0" applyNumberFormat="1" applyFont="1" applyFill="1" applyAlignment="1">
      <alignment horizontal="center"/>
    </xf>
    <xf numFmtId="0" fontId="0" fillId="9" borderId="0" xfId="0" applyFill="1" applyAlignment="1"/>
    <xf numFmtId="37" fontId="0" fillId="9" borderId="17" xfId="0" applyNumberFormat="1" applyFont="1" applyFill="1" applyBorder="1" applyAlignment="1"/>
    <xf numFmtId="3" fontId="1" fillId="9" borderId="0" xfId="0" applyNumberFormat="1" applyFont="1" applyFill="1" applyAlignment="1"/>
    <xf numFmtId="37" fontId="9" fillId="9" borderId="18" xfId="0" applyNumberFormat="1" applyFont="1" applyFill="1" applyBorder="1" applyAlignment="1"/>
    <xf numFmtId="37" fontId="9" fillId="9" borderId="0" xfId="0" applyNumberFormat="1" applyFont="1" applyFill="1" applyAlignment="1"/>
    <xf numFmtId="0" fontId="0" fillId="9" borderId="0" xfId="0" applyFont="1" applyFill="1" applyAlignment="1"/>
    <xf numFmtId="4" fontId="1" fillId="9" borderId="0" xfId="0" applyNumberFormat="1" applyFont="1" applyFill="1" applyAlignment="1">
      <alignment horizontal="center"/>
    </xf>
    <xf numFmtId="41" fontId="5" fillId="13" borderId="0" xfId="7" applyNumberFormat="1" applyFont="1" applyFill="1" applyProtection="1">
      <protection locked="0"/>
    </xf>
    <xf numFmtId="37" fontId="0" fillId="13" borderId="0" xfId="0" applyNumberFormat="1" applyFont="1" applyFill="1" applyAlignment="1"/>
    <xf numFmtId="41" fontId="5" fillId="14" borderId="0" xfId="7" applyNumberFormat="1" applyFont="1" applyFill="1" applyProtection="1">
      <protection locked="0"/>
    </xf>
    <xf numFmtId="37" fontId="0" fillId="14" borderId="0" xfId="0" applyNumberFormat="1" applyFont="1" applyFill="1" applyAlignment="1"/>
    <xf numFmtId="3" fontId="1" fillId="8" borderId="0" xfId="0" applyNumberFormat="1" applyFont="1" applyFill="1" applyAlignment="1"/>
    <xf numFmtId="37" fontId="0" fillId="8" borderId="0" xfId="0" applyNumberFormat="1" applyFont="1" applyFill="1" applyBorder="1" applyAlignment="1"/>
    <xf numFmtId="37" fontId="1" fillId="8" borderId="0" xfId="0" applyNumberFormat="1" applyFont="1" applyFill="1" applyBorder="1" applyAlignment="1"/>
    <xf numFmtId="37" fontId="0" fillId="0" borderId="0" xfId="0" applyNumberFormat="1" applyFont="1" applyFill="1" applyBorder="1" applyAlignment="1"/>
    <xf numFmtId="3" fontId="1" fillId="0" borderId="37" xfId="0" applyNumberFormat="1" applyFont="1" applyFill="1" applyBorder="1" applyAlignment="1"/>
    <xf numFmtId="37" fontId="0" fillId="0" borderId="38" xfId="0" applyNumberFormat="1" applyFont="1" applyFill="1" applyBorder="1" applyAlignment="1"/>
    <xf numFmtId="37" fontId="0" fillId="0" borderId="39" xfId="0" applyNumberFormat="1" applyFont="1" applyFill="1" applyBorder="1" applyAlignment="1"/>
    <xf numFmtId="3" fontId="1" fillId="0" borderId="0" xfId="0" applyNumberFormat="1" applyFont="1" applyFill="1" applyBorder="1" applyAlignment="1"/>
    <xf numFmtId="3" fontId="1" fillId="14" borderId="0" xfId="0" applyNumberFormat="1" applyFont="1" applyFill="1" applyAlignment="1"/>
    <xf numFmtId="37" fontId="0" fillId="14" borderId="0" xfId="0" applyNumberFormat="1" applyFont="1" applyFill="1" applyBorder="1" applyAlignment="1"/>
    <xf numFmtId="3" fontId="1" fillId="13" borderId="0" xfId="0" applyNumberFormat="1" applyFont="1" applyFill="1" applyAlignment="1"/>
    <xf numFmtId="37" fontId="0" fillId="13" borderId="0" xfId="0" applyNumberFormat="1" applyFont="1" applyFill="1" applyBorder="1" applyAlignment="1"/>
    <xf numFmtId="3" fontId="26" fillId="0" borderId="0" xfId="21" applyNumberFormat="1" applyFont="1" applyFill="1" applyAlignment="1"/>
    <xf numFmtId="10" fontId="5" fillId="9" borderId="0" xfId="19" applyNumberFormat="1" applyFont="1" applyFill="1"/>
    <xf numFmtId="37" fontId="0" fillId="9" borderId="13" xfId="0" applyNumberFormat="1" applyFont="1" applyFill="1" applyBorder="1" applyAlignment="1"/>
    <xf numFmtId="0" fontId="53" fillId="9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/>
    </xf>
    <xf numFmtId="41" fontId="5" fillId="0" borderId="0" xfId="7" applyNumberFormat="1" applyFont="1" applyFill="1" applyProtection="1">
      <protection locked="0"/>
    </xf>
    <xf numFmtId="0" fontId="0" fillId="0" borderId="28" xfId="0" applyFill="1" applyBorder="1"/>
    <xf numFmtId="43" fontId="0" fillId="0" borderId="28" xfId="0" applyNumberFormat="1" applyFill="1" applyBorder="1"/>
    <xf numFmtId="43" fontId="0" fillId="0" borderId="17" xfId="0" applyNumberFormat="1" applyFill="1" applyBorder="1"/>
    <xf numFmtId="43" fontId="0" fillId="0" borderId="31" xfId="0" applyNumberFormat="1" applyFill="1" applyBorder="1"/>
    <xf numFmtId="0" fontId="0" fillId="0" borderId="32" xfId="0" applyFill="1" applyBorder="1"/>
    <xf numFmtId="43" fontId="0" fillId="0" borderId="32" xfId="0" applyNumberFormat="1" applyFill="1" applyBorder="1"/>
    <xf numFmtId="43" fontId="0" fillId="0" borderId="0" xfId="0" applyNumberFormat="1" applyFill="1"/>
    <xf numFmtId="43" fontId="0" fillId="0" borderId="33" xfId="0" applyNumberFormat="1" applyFill="1" applyBorder="1"/>
    <xf numFmtId="0" fontId="0" fillId="0" borderId="32" xfId="0" applyFill="1" applyBorder="1" applyAlignment="1">
      <alignment horizontal="left"/>
    </xf>
    <xf numFmtId="0" fontId="4" fillId="0" borderId="0" xfId="0" applyFont="1" applyFill="1" applyAlignment="1">
      <alignment horizontal="center"/>
    </xf>
    <xf numFmtId="37" fontId="1" fillId="9" borderId="0" xfId="0" quotePrefix="1" applyNumberFormat="1" applyFont="1" applyFill="1" applyAlignment="1" applyProtection="1">
      <alignment horizontal="left"/>
      <protection locked="0"/>
    </xf>
    <xf numFmtId="37" fontId="1" fillId="9" borderId="0" xfId="0" quotePrefix="1" applyNumberFormat="1" applyFont="1" applyFill="1" applyAlignment="1">
      <alignment horizontal="left"/>
    </xf>
    <xf numFmtId="37" fontId="4" fillId="0" borderId="1" xfId="0" applyNumberFormat="1" applyFont="1" applyFill="1" applyBorder="1" applyProtection="1">
      <protection locked="0"/>
    </xf>
    <xf numFmtId="37" fontId="4" fillId="0" borderId="24" xfId="0" applyNumberFormat="1" applyFont="1" applyFill="1" applyBorder="1" applyProtection="1">
      <protection locked="0"/>
    </xf>
    <xf numFmtId="167" fontId="1" fillId="0" borderId="0" xfId="16" applyFont="1" applyFill="1" applyAlignment="1">
      <alignment horizontal="center"/>
    </xf>
    <xf numFmtId="43" fontId="4" fillId="0" borderId="0" xfId="1" applyFont="1" applyFill="1"/>
    <xf numFmtId="166" fontId="6" fillId="0" borderId="1" xfId="1" applyNumberFormat="1" applyFont="1" applyFill="1" applyBorder="1"/>
    <xf numFmtId="37" fontId="1" fillId="0" borderId="0" xfId="0" applyNumberFormat="1" applyFont="1" applyFill="1" applyAlignment="1">
      <alignment horizontal="center"/>
    </xf>
    <xf numFmtId="37" fontId="0" fillId="15" borderId="0" xfId="0" applyNumberFormat="1" applyFont="1" applyFill="1" applyAlignment="1"/>
    <xf numFmtId="10" fontId="4" fillId="9" borderId="0" xfId="19" applyNumberFormat="1" applyFont="1" applyFill="1" applyBorder="1"/>
    <xf numFmtId="37" fontId="1" fillId="9" borderId="0" xfId="11" applyFont="1" applyFill="1"/>
    <xf numFmtId="166" fontId="5" fillId="11" borderId="0" xfId="22" applyNumberFormat="1" applyFont="1" applyFill="1" applyBorder="1" applyProtection="1">
      <protection locked="0"/>
    </xf>
    <xf numFmtId="166" fontId="25" fillId="0" borderId="0" xfId="24" applyNumberFormat="1" applyFont="1"/>
    <xf numFmtId="175" fontId="5" fillId="11" borderId="0" xfId="24" applyNumberFormat="1" applyFont="1" applyFill="1" applyProtection="1">
      <protection locked="0"/>
    </xf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37" fontId="4" fillId="0" borderId="0" xfId="0" applyNumberFormat="1" applyFont="1" applyFill="1" applyAlignment="1">
      <alignment horizontal="center"/>
    </xf>
    <xf numFmtId="43" fontId="0" fillId="0" borderId="0" xfId="1" applyFont="1" applyFill="1"/>
    <xf numFmtId="0" fontId="1" fillId="0" borderId="32" xfId="0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0" fillId="9" borderId="0" xfId="0" applyFill="1"/>
    <xf numFmtId="166" fontId="5" fillId="0" borderId="22" xfId="1" applyNumberFormat="1" applyFont="1" applyFill="1" applyBorder="1"/>
    <xf numFmtId="0" fontId="0" fillId="9" borderId="0" xfId="0" applyFill="1" applyAlignment="1">
      <alignment horizontal="center"/>
    </xf>
    <xf numFmtId="0" fontId="5" fillId="9" borderId="0" xfId="0" applyFont="1" applyFill="1" applyAlignment="1">
      <alignment horizontal="center"/>
    </xf>
    <xf numFmtId="37" fontId="4" fillId="9" borderId="0" xfId="5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37" fontId="4" fillId="0" borderId="0" xfId="5" applyFont="1" applyFill="1" applyAlignment="1">
      <alignment horizontal="center"/>
    </xf>
    <xf numFmtId="167" fontId="4" fillId="0" borderId="0" xfId="6" applyFont="1" applyFill="1" applyAlignment="1" applyProtection="1">
      <alignment horizontal="center"/>
    </xf>
    <xf numFmtId="167" fontId="4" fillId="0" borderId="0" xfId="6" quotePrefix="1" applyFont="1" applyFill="1" applyAlignment="1" applyProtection="1">
      <alignment horizontal="center"/>
    </xf>
    <xf numFmtId="0" fontId="1" fillId="0" borderId="0" xfId="18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67" fontId="4" fillId="0" borderId="2" xfId="6" applyFont="1" applyFill="1" applyBorder="1" applyAlignment="1">
      <alignment horizontal="center"/>
    </xf>
    <xf numFmtId="167" fontId="4" fillId="0" borderId="13" xfId="6" applyFont="1" applyFill="1" applyBorder="1" applyAlignment="1">
      <alignment horizontal="center"/>
    </xf>
    <xf numFmtId="167" fontId="4" fillId="0" borderId="12" xfId="6" applyFont="1" applyFill="1" applyBorder="1" applyAlignment="1">
      <alignment horizontal="center"/>
    </xf>
    <xf numFmtId="167" fontId="4" fillId="0" borderId="3" xfId="6" applyFont="1" applyFill="1" applyBorder="1" applyAlignment="1">
      <alignment horizontal="center"/>
    </xf>
    <xf numFmtId="167" fontId="4" fillId="0" borderId="8" xfId="6" applyFont="1" applyFill="1" applyBorder="1" applyAlignment="1">
      <alignment horizontal="center"/>
    </xf>
    <xf numFmtId="167" fontId="4" fillId="0" borderId="3" xfId="6" applyFont="1" applyFill="1" applyBorder="1" applyAlignment="1" applyProtection="1">
      <alignment horizontal="center"/>
    </xf>
    <xf numFmtId="167" fontId="4" fillId="0" borderId="8" xfId="6" applyFont="1" applyFill="1" applyBorder="1" applyAlignment="1" applyProtection="1">
      <alignment horizontal="center"/>
    </xf>
    <xf numFmtId="167" fontId="4" fillId="0" borderId="2" xfId="6" applyFont="1" applyFill="1" applyBorder="1" applyAlignment="1" applyProtection="1">
      <alignment horizontal="center"/>
    </xf>
    <xf numFmtId="167" fontId="4" fillId="0" borderId="12" xfId="6" applyFont="1" applyFill="1" applyBorder="1" applyAlignment="1" applyProtection="1">
      <alignment horizontal="center"/>
    </xf>
    <xf numFmtId="37" fontId="4" fillId="0" borderId="2" xfId="6" applyNumberFormat="1" applyFont="1" applyFill="1" applyBorder="1" applyAlignment="1" applyProtection="1">
      <alignment horizontal="center"/>
    </xf>
    <xf numFmtId="37" fontId="4" fillId="0" borderId="13" xfId="6" applyNumberFormat="1" applyFont="1" applyFill="1" applyBorder="1" applyAlignment="1" applyProtection="1">
      <alignment horizontal="center"/>
    </xf>
    <xf numFmtId="37" fontId="4" fillId="0" borderId="12" xfId="6" applyNumberFormat="1" applyFont="1" applyFill="1" applyBorder="1" applyAlignment="1" applyProtection="1">
      <alignment horizontal="center"/>
    </xf>
    <xf numFmtId="167" fontId="5" fillId="0" borderId="0" xfId="6" quotePrefix="1" applyFont="1" applyFill="1" applyAlignment="1" applyProtection="1">
      <alignment horizontal="center"/>
      <protection locked="0"/>
    </xf>
    <xf numFmtId="167" fontId="5" fillId="0" borderId="0" xfId="6" applyFont="1" applyFill="1" applyAlignment="1" applyProtection="1">
      <alignment horizontal="center"/>
      <protection locked="0"/>
    </xf>
    <xf numFmtId="167" fontId="4" fillId="0" borderId="13" xfId="6" applyFont="1" applyFill="1" applyBorder="1" applyAlignment="1" applyProtection="1">
      <alignment horizontal="center"/>
    </xf>
    <xf numFmtId="37" fontId="4" fillId="0" borderId="0" xfId="5" applyFont="1" applyFill="1" applyAlignment="1">
      <alignment horizontal="center" vertical="center"/>
    </xf>
    <xf numFmtId="167" fontId="4" fillId="9" borderId="0" xfId="6" applyFont="1" applyFill="1" applyAlignment="1" applyProtection="1">
      <alignment horizontal="center"/>
    </xf>
    <xf numFmtId="167" fontId="4" fillId="9" borderId="0" xfId="6" quotePrefix="1" applyFont="1" applyFill="1" applyAlignment="1" applyProtection="1">
      <alignment horizontal="center"/>
    </xf>
    <xf numFmtId="167" fontId="5" fillId="9" borderId="0" xfId="6" quotePrefix="1" applyFont="1" applyFill="1" applyAlignment="1" applyProtection="1">
      <alignment horizontal="center"/>
      <protection locked="0"/>
    </xf>
    <xf numFmtId="37" fontId="4" fillId="9" borderId="0" xfId="5" applyFont="1" applyFill="1" applyAlignment="1">
      <alignment horizontal="center" vertical="center"/>
    </xf>
    <xf numFmtId="0" fontId="0" fillId="9" borderId="0" xfId="0" applyFill="1" applyAlignment="1">
      <alignment vertical="center"/>
    </xf>
    <xf numFmtId="0" fontId="0" fillId="0" borderId="32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5" fillId="0" borderId="0" xfId="0" quotePrefix="1" applyFont="1" applyFill="1" applyAlignment="1">
      <alignment horizontal="center"/>
    </xf>
    <xf numFmtId="167" fontId="4" fillId="0" borderId="0" xfId="10" applyFont="1" applyFill="1" applyAlignment="1" applyProtection="1">
      <alignment horizontal="center"/>
    </xf>
    <xf numFmtId="167" fontId="5" fillId="0" borderId="0" xfId="10" quotePrefix="1" applyFont="1" applyFill="1" applyAlignment="1" applyProtection="1">
      <alignment horizontal="center"/>
    </xf>
    <xf numFmtId="37" fontId="4" fillId="9" borderId="0" xfId="11" applyFont="1" applyFill="1" applyAlignment="1" applyProtection="1">
      <alignment horizontal="center"/>
    </xf>
    <xf numFmtId="37" fontId="5" fillId="9" borderId="0" xfId="11" applyFont="1" applyFill="1" applyAlignment="1" applyProtection="1">
      <alignment horizontal="center"/>
      <protection locked="0"/>
    </xf>
    <xf numFmtId="37" fontId="4" fillId="9" borderId="0" xfId="11" quotePrefix="1" applyFont="1" applyFill="1" applyAlignment="1">
      <alignment horizontal="left" wrapText="1"/>
    </xf>
    <xf numFmtId="0" fontId="0" fillId="9" borderId="0" xfId="0" applyFill="1"/>
    <xf numFmtId="37" fontId="4" fillId="9" borderId="0" xfId="11" applyFont="1" applyFill="1" applyAlignment="1">
      <alignment horizontal="center" vertical="center"/>
    </xf>
    <xf numFmtId="0" fontId="31" fillId="0" borderId="0" xfId="14" applyFont="1" applyFill="1" applyAlignment="1">
      <alignment horizontal="center"/>
    </xf>
    <xf numFmtId="0" fontId="31" fillId="0" borderId="0" xfId="0" applyFont="1" applyAlignment="1">
      <alignment horizontal="center"/>
    </xf>
    <xf numFmtId="0" fontId="45" fillId="0" borderId="0" xfId="14" quotePrefix="1" applyFont="1" applyFill="1" applyAlignment="1">
      <alignment horizontal="center"/>
    </xf>
    <xf numFmtId="0" fontId="45" fillId="0" borderId="0" xfId="14" applyFont="1" applyFill="1" applyAlignment="1">
      <alignment horizontal="center"/>
    </xf>
    <xf numFmtId="37" fontId="31" fillId="0" borderId="0" xfId="8" applyFont="1" applyFill="1" applyAlignment="1">
      <alignment horizontal="center"/>
    </xf>
    <xf numFmtId="37" fontId="31" fillId="0" borderId="0" xfId="11" applyFont="1" applyFill="1" applyAlignment="1">
      <alignment horizontal="center" vertical="center"/>
    </xf>
    <xf numFmtId="0" fontId="4" fillId="0" borderId="0" xfId="0" applyFont="1" applyFill="1" applyAlignment="1" applyProtection="1">
      <alignment horizontal="center"/>
    </xf>
    <xf numFmtId="0" fontId="1" fillId="0" borderId="0" xfId="0" applyFont="1" applyFill="1" applyAlignment="1">
      <alignment horizontal="center"/>
    </xf>
    <xf numFmtId="37" fontId="4" fillId="0" borderId="0" xfId="0" applyNumberFormat="1" applyFont="1" applyFill="1" applyAlignment="1">
      <alignment horizontal="center"/>
    </xf>
    <xf numFmtId="37" fontId="5" fillId="0" borderId="0" xfId="0" applyNumberFormat="1" applyFont="1" applyFill="1" applyAlignment="1">
      <alignment horizontal="center"/>
    </xf>
    <xf numFmtId="37" fontId="4" fillId="9" borderId="0" xfId="0" applyNumberFormat="1" applyFont="1" applyFill="1" applyAlignment="1">
      <alignment horizontal="center"/>
    </xf>
    <xf numFmtId="37" fontId="5" fillId="9" borderId="0" xfId="0" applyNumberFormat="1" applyFont="1" applyFill="1" applyAlignment="1">
      <alignment horizontal="center"/>
    </xf>
    <xf numFmtId="0" fontId="4" fillId="9" borderId="0" xfId="0" applyFont="1" applyFill="1" applyAlignment="1">
      <alignment horizontal="center"/>
    </xf>
    <xf numFmtId="0" fontId="4" fillId="9" borderId="0" xfId="0" applyFont="1" applyFill="1" applyAlignment="1" applyProtection="1">
      <alignment horizontal="center"/>
    </xf>
    <xf numFmtId="0" fontId="5" fillId="9" borderId="0" xfId="0" quotePrefix="1" applyFont="1" applyFill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5" fillId="0" borderId="0" xfId="0" applyFont="1" applyFill="1" applyAlignment="1" applyProtection="1">
      <alignment horizontal="center"/>
    </xf>
    <xf numFmtId="0" fontId="4" fillId="0" borderId="0" xfId="15" applyFont="1" applyFill="1" applyAlignment="1">
      <alignment horizontal="center"/>
    </xf>
    <xf numFmtId="37" fontId="4" fillId="0" borderId="0" xfId="15" applyNumberFormat="1" applyFont="1" applyFill="1" applyAlignment="1" applyProtection="1">
      <alignment horizontal="center"/>
    </xf>
    <xf numFmtId="37" fontId="5" fillId="0" borderId="0" xfId="15" applyNumberFormat="1" applyFont="1" applyFill="1" applyAlignment="1" applyProtection="1">
      <alignment horizontal="center"/>
      <protection locked="0"/>
    </xf>
    <xf numFmtId="37" fontId="4" fillId="0" borderId="2" xfId="15" applyNumberFormat="1" applyFont="1" applyFill="1" applyBorder="1" applyAlignment="1" applyProtection="1">
      <alignment horizontal="center"/>
    </xf>
    <xf numFmtId="37" fontId="4" fillId="0" borderId="12" xfId="15" applyNumberFormat="1" applyFont="1" applyFill="1" applyBorder="1" applyAlignment="1" applyProtection="1">
      <alignment horizontal="center"/>
    </xf>
    <xf numFmtId="37" fontId="4" fillId="0" borderId="2" xfId="15" quotePrefix="1" applyNumberFormat="1" applyFont="1" applyFill="1" applyBorder="1" applyAlignment="1" applyProtection="1">
      <alignment horizontal="center"/>
    </xf>
    <xf numFmtId="37" fontId="4" fillId="0" borderId="12" xfId="15" quotePrefix="1" applyNumberFormat="1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left"/>
    </xf>
    <xf numFmtId="41" fontId="10" fillId="9" borderId="0" xfId="7" applyNumberFormat="1" applyFont="1" applyFill="1" applyBorder="1" applyAlignment="1">
      <alignment horizontal="center" wrapText="1"/>
    </xf>
    <xf numFmtId="0" fontId="5" fillId="9" borderId="0" xfId="0" applyFont="1" applyFill="1" applyAlignment="1" applyProtection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7" fontId="4" fillId="0" borderId="0" xfId="16" applyFont="1" applyFill="1" applyAlignment="1">
      <alignment horizontal="center"/>
    </xf>
    <xf numFmtId="167" fontId="5" fillId="0" borderId="0" xfId="16" applyFont="1" applyFill="1" applyAlignment="1">
      <alignment horizontal="center"/>
    </xf>
    <xf numFmtId="167" fontId="19" fillId="0" borderId="0" xfId="16" applyFont="1" applyFill="1" applyAlignment="1">
      <alignment horizontal="left" wrapText="1"/>
    </xf>
    <xf numFmtId="167" fontId="4" fillId="0" borderId="0" xfId="17" applyFont="1" applyFill="1" applyAlignment="1">
      <alignment horizontal="center"/>
    </xf>
    <xf numFmtId="43" fontId="0" fillId="0" borderId="0" xfId="0" applyNumberFormat="1" applyAlignment="1">
      <alignment horizontal="center"/>
    </xf>
    <xf numFmtId="167" fontId="1" fillId="0" borderId="0" xfId="16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/>
    </xf>
  </cellXfs>
  <cellStyles count="27">
    <cellStyle name="Comma" xfId="1" builtinId="3"/>
    <cellStyle name="Comma 2" xfId="22" xr:uid="{00000000-0005-0000-0000-000001000000}"/>
    <cellStyle name="Comma_swp02revcrsum" xfId="2" xr:uid="{00000000-0005-0000-0000-000002000000}"/>
    <cellStyle name="Currency" xfId="3" builtinId="4"/>
    <cellStyle name="Normal" xfId="0" builtinId="0"/>
    <cellStyle name="Normal 2" xfId="4" xr:uid="{00000000-0005-0000-0000-000005000000}"/>
    <cellStyle name="Normal 2 2" xfId="23" xr:uid="{00000000-0005-0000-0000-000006000000}"/>
    <cellStyle name="Normal 3" xfId="21" xr:uid="{00000000-0005-0000-0000-000007000000}"/>
    <cellStyle name="Normal_94WHFUEL" xfId="5" xr:uid="{00000000-0005-0000-0000-000008000000}"/>
    <cellStyle name="Normal_AD&amp;AE" xfId="6" xr:uid="{00000000-0005-0000-0000-000009000000}"/>
    <cellStyle name="Normal_ADITAnalysisID090805" xfId="7" xr:uid="{00000000-0005-0000-0000-00000A000000}"/>
    <cellStyle name="Normal_ADITAnalysisID090805 2 2 2" xfId="24" xr:uid="{00000000-0005-0000-0000-00000B000000}"/>
    <cellStyle name="Normal_AL_2003" xfId="8" xr:uid="{00000000-0005-0000-0000-00000C000000}"/>
    <cellStyle name="Normal_AU Period 2 Rev 4-27-00" xfId="9" xr:uid="{00000000-0005-0000-0000-00000D000000}"/>
    <cellStyle name="Normal_Blank AI Workpapers including AEPSC labor" xfId="26" xr:uid="{00000000-0005-0000-0000-00000E000000}"/>
    <cellStyle name="Normal_Depreciation Expense" xfId="10" xr:uid="{00000000-0005-0000-0000-00000F000000}"/>
    <cellStyle name="Normal_EFFTAXRT" xfId="11" xr:uid="{00000000-0005-0000-0000-000010000000}"/>
    <cellStyle name="Normal_FN1 Ratebase Draft SPP template (6-11-04) v2" xfId="12" xr:uid="{00000000-0005-0000-0000-000011000000}"/>
    <cellStyle name="Normal_I&amp;M-AK-1" xfId="13" xr:uid="{00000000-0005-0000-0000-000012000000}"/>
    <cellStyle name="Normal_Other Taxes" xfId="14" xr:uid="{00000000-0005-0000-0000-000013000000}"/>
    <cellStyle name="Normal_PSTOCK" xfId="15" xr:uid="{00000000-0005-0000-0000-000014000000}"/>
    <cellStyle name="Normal_PURPWR" xfId="16" xr:uid="{00000000-0005-0000-0000-000015000000}"/>
    <cellStyle name="Normal_SALESRES_2" xfId="17" xr:uid="{00000000-0005-0000-0000-000016000000}"/>
    <cellStyle name="Normal_Sheet1" xfId="20" xr:uid="{00000000-0005-0000-0000-000017000000}"/>
    <cellStyle name="Normal_SWEPCO CWIP_2006" xfId="18" xr:uid="{00000000-0005-0000-0000-000018000000}"/>
    <cellStyle name="Percent" xfId="19" builtinId="5"/>
    <cellStyle name="Percent 2" xfId="25" xr:uid="{00000000-0005-0000-0000-00001A000000}"/>
  </cellStyles>
  <dxfs count="10"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</dxfs>
  <tableStyles count="0" defaultTableStyle="TableStyleMedium2" defaultPivotStyle="PivotStyleLight16"/>
  <colors>
    <mruColors>
      <color rgb="FFFF9933"/>
      <color rgb="FF99FF99"/>
      <color rgb="FF33CC33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314325</xdr:colOff>
      <xdr:row>21</xdr:row>
      <xdr:rowOff>19050</xdr:rowOff>
    </xdr:from>
    <xdr:to>
      <xdr:col>3</xdr:col>
      <xdr:colOff>390525</xdr:colOff>
      <xdr:row>22</xdr:row>
      <xdr:rowOff>57150</xdr:rowOff>
    </xdr:to>
    <xdr:sp macro="" textlink="">
      <xdr:nvSpPr>
        <xdr:cNvPr id="26773" name="Text Box 1">
          <a:extLst>
            <a:ext uri="{FF2B5EF4-FFF2-40B4-BE49-F238E27FC236}">
              <a16:creationId xmlns:a16="http://schemas.microsoft.com/office/drawing/2014/main" id="{00000000-0008-0000-1400-000095680000}"/>
            </a:ext>
          </a:extLst>
        </xdr:cNvPr>
        <xdr:cNvSpPr txBox="1">
          <a:spLocks noChangeArrowheads="1"/>
        </xdr:cNvSpPr>
      </xdr:nvSpPr>
      <xdr:spPr bwMode="auto">
        <a:xfrm>
          <a:off x="2981325" y="3429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showGridLines="0" tabSelected="1" view="pageBreakPreview" zoomScale="85" zoomScaleNormal="100" zoomScaleSheetLayoutView="85" workbookViewId="0">
      <selection activeCell="A4" sqref="A4:G4"/>
    </sheetView>
  </sheetViews>
  <sheetFormatPr defaultColWidth="9.140625" defaultRowHeight="12.75"/>
  <cols>
    <col min="1" max="1" width="23.5703125" style="1" customWidth="1"/>
    <col min="2" max="2" width="8.42578125" style="1" customWidth="1"/>
    <col min="3" max="3" width="11" style="1" customWidth="1"/>
    <col min="4" max="4" width="15.5703125" style="1" customWidth="1"/>
    <col min="5" max="5" width="15" style="1" customWidth="1"/>
    <col min="6" max="16384" width="9.140625" style="1"/>
  </cols>
  <sheetData>
    <row r="1" spans="1:9">
      <c r="A1" s="569"/>
      <c r="B1" s="570" t="s">
        <v>102</v>
      </c>
      <c r="C1" s="569"/>
      <c r="D1" s="569"/>
      <c r="E1" s="569"/>
      <c r="F1" s="571" t="s">
        <v>568</v>
      </c>
      <c r="G1" s="569"/>
      <c r="H1" s="569"/>
    </row>
    <row r="2" spans="1:9">
      <c r="A2" s="710" t="s">
        <v>587</v>
      </c>
      <c r="B2" s="710"/>
      <c r="C2" s="710"/>
      <c r="D2" s="710"/>
      <c r="E2" s="710"/>
      <c r="F2" s="710"/>
      <c r="G2" s="710"/>
      <c r="H2" s="569"/>
    </row>
    <row r="3" spans="1:9">
      <c r="A3" s="712" t="s">
        <v>567</v>
      </c>
      <c r="B3" s="712"/>
      <c r="C3" s="712"/>
      <c r="D3" s="712"/>
      <c r="E3" s="712"/>
      <c r="F3" s="712"/>
      <c r="G3" s="712"/>
      <c r="H3" s="569"/>
    </row>
    <row r="4" spans="1:9">
      <c r="A4" s="710" t="s">
        <v>569</v>
      </c>
      <c r="B4" s="710"/>
      <c r="C4" s="710"/>
      <c r="D4" s="710"/>
      <c r="E4" s="710"/>
      <c r="F4" s="710"/>
      <c r="G4" s="710"/>
      <c r="H4" s="569"/>
    </row>
    <row r="5" spans="1:9">
      <c r="A5" s="711" t="s">
        <v>1176</v>
      </c>
      <c r="B5" s="711"/>
      <c r="C5" s="711"/>
      <c r="D5" s="711"/>
      <c r="E5" s="710"/>
      <c r="F5" s="710"/>
      <c r="G5" s="710"/>
      <c r="H5" s="569"/>
    </row>
    <row r="6" spans="1:9">
      <c r="A6" s="569"/>
      <c r="B6" s="569"/>
      <c r="C6" s="569"/>
      <c r="D6" s="569"/>
      <c r="E6" s="569"/>
      <c r="F6" s="569"/>
      <c r="G6" s="569"/>
      <c r="H6" s="569"/>
    </row>
    <row r="7" spans="1:9" ht="15">
      <c r="A7" s="572"/>
      <c r="B7" s="572"/>
      <c r="C7" s="573" t="s">
        <v>1029</v>
      </c>
      <c r="D7" s="572"/>
      <c r="E7" s="572"/>
      <c r="F7" s="569"/>
      <c r="G7" s="569"/>
      <c r="H7" s="569"/>
    </row>
    <row r="8" spans="1:9" ht="18">
      <c r="A8" s="574" t="s">
        <v>97</v>
      </c>
      <c r="B8" s="573" t="s">
        <v>368</v>
      </c>
      <c r="C8" s="573" t="s">
        <v>502</v>
      </c>
      <c r="D8" s="573" t="s">
        <v>518</v>
      </c>
      <c r="E8" s="575" t="s">
        <v>861</v>
      </c>
      <c r="F8" s="569"/>
      <c r="G8" s="569"/>
      <c r="H8" s="569"/>
    </row>
    <row r="9" spans="1:9" ht="15">
      <c r="A9" s="576" t="s">
        <v>1070</v>
      </c>
      <c r="B9" s="577">
        <v>5</v>
      </c>
      <c r="C9" s="578">
        <v>1800</v>
      </c>
      <c r="D9" s="579">
        <v>4299.5710000000008</v>
      </c>
      <c r="E9" s="580" t="s">
        <v>267</v>
      </c>
      <c r="F9" s="569"/>
      <c r="G9" s="569"/>
      <c r="H9" s="569"/>
      <c r="I9" s="261"/>
    </row>
    <row r="10" spans="1:9" ht="15">
      <c r="A10" s="576" t="s">
        <v>1070</v>
      </c>
      <c r="B10" s="577">
        <v>27</v>
      </c>
      <c r="C10" s="578">
        <v>1800</v>
      </c>
      <c r="D10" s="579">
        <v>4910.0880000000016</v>
      </c>
      <c r="E10" s="572"/>
      <c r="F10" s="569"/>
      <c r="G10" s="569"/>
      <c r="H10" s="569"/>
      <c r="I10" s="261"/>
    </row>
    <row r="11" spans="1:9" ht="15">
      <c r="A11" s="576" t="s">
        <v>1070</v>
      </c>
      <c r="B11" s="577">
        <v>28</v>
      </c>
      <c r="C11" s="578">
        <v>1800</v>
      </c>
      <c r="D11" s="579">
        <v>4402.5110000000004</v>
      </c>
      <c r="E11" s="572"/>
      <c r="F11" s="569"/>
      <c r="G11" s="569"/>
      <c r="H11" s="569"/>
      <c r="I11" s="261"/>
    </row>
    <row r="12" spans="1:9" ht="15">
      <c r="A12" s="576" t="s">
        <v>1193</v>
      </c>
      <c r="B12" s="577">
        <v>5</v>
      </c>
      <c r="C12" s="578">
        <v>1700</v>
      </c>
      <c r="D12" s="579">
        <v>4828.8120000000008</v>
      </c>
      <c r="E12" s="572"/>
      <c r="F12" s="569"/>
      <c r="G12" s="569"/>
      <c r="H12" s="569"/>
      <c r="I12" s="261"/>
    </row>
    <row r="13" spans="1:9" ht="15">
      <c r="A13" s="576" t="s">
        <v>1193</v>
      </c>
      <c r="B13" s="577">
        <v>6</v>
      </c>
      <c r="C13" s="578">
        <v>1700</v>
      </c>
      <c r="D13" s="579">
        <v>4877.7660000000005</v>
      </c>
      <c r="E13" s="572"/>
      <c r="F13" s="569"/>
      <c r="G13" s="569"/>
      <c r="H13" s="569"/>
      <c r="I13" s="261"/>
    </row>
    <row r="14" spans="1:9" ht="15">
      <c r="A14" s="572"/>
      <c r="B14" s="572"/>
      <c r="C14" s="572"/>
      <c r="D14" s="581"/>
      <c r="E14" s="572"/>
      <c r="F14" s="569"/>
      <c r="G14" s="569"/>
      <c r="H14" s="569"/>
      <c r="I14" s="261"/>
    </row>
    <row r="15" spans="1:9" ht="15">
      <c r="A15" s="572" t="s">
        <v>369</v>
      </c>
      <c r="B15" s="572"/>
      <c r="C15" s="572"/>
      <c r="D15" s="582">
        <f>ROUND(AVERAGE(D9:D13),1)</f>
        <v>4663.7</v>
      </c>
      <c r="E15" s="572"/>
      <c r="F15" s="569"/>
      <c r="G15" s="569"/>
      <c r="H15" s="569"/>
      <c r="I15" s="261"/>
    </row>
    <row r="16" spans="1:9" ht="15">
      <c r="A16" s="611"/>
      <c r="B16" s="612"/>
      <c r="C16" s="572"/>
      <c r="D16" s="583"/>
      <c r="E16" s="572"/>
      <c r="F16" s="569"/>
      <c r="G16" s="569"/>
      <c r="H16" s="569"/>
      <c r="I16" s="261"/>
    </row>
    <row r="17" spans="1:9" ht="15">
      <c r="A17" s="611"/>
      <c r="B17" s="612"/>
      <c r="C17" s="572"/>
      <c r="D17" s="581"/>
      <c r="E17" s="572"/>
      <c r="F17" s="569"/>
      <c r="G17" s="569"/>
      <c r="H17" s="569"/>
      <c r="I17" s="261"/>
    </row>
    <row r="18" spans="1:9" ht="15">
      <c r="A18" s="675" t="s">
        <v>1096</v>
      </c>
      <c r="B18" s="612"/>
      <c r="C18" s="572"/>
      <c r="D18" s="582"/>
      <c r="E18" s="572"/>
      <c r="F18" s="569"/>
      <c r="G18" s="569"/>
      <c r="H18" s="569"/>
      <c r="I18" s="261"/>
    </row>
    <row r="19" spans="1:9" ht="15">
      <c r="A19" s="611"/>
      <c r="B19" s="612"/>
      <c r="C19" s="569"/>
      <c r="D19" s="569"/>
      <c r="E19" s="569"/>
      <c r="F19" s="569"/>
      <c r="G19" s="569"/>
      <c r="H19" s="569"/>
      <c r="I19" s="261"/>
    </row>
    <row r="20" spans="1:9" ht="15">
      <c r="A20" s="611"/>
      <c r="B20" s="612"/>
      <c r="C20" s="569"/>
      <c r="D20" s="569"/>
      <c r="E20" s="569"/>
      <c r="F20" s="569"/>
      <c r="G20" s="569"/>
      <c r="H20" s="569"/>
      <c r="I20" s="261"/>
    </row>
    <row r="21" spans="1:9" ht="15">
      <c r="A21" s="610"/>
      <c r="B21"/>
      <c r="C21" s="569"/>
      <c r="D21" s="569"/>
      <c r="E21" s="569"/>
      <c r="F21" s="569"/>
      <c r="G21" s="569"/>
      <c r="H21" s="569"/>
      <c r="I21" s="261"/>
    </row>
    <row r="22" spans="1:9">
      <c r="A22" s="584" t="s">
        <v>102</v>
      </c>
      <c r="B22" s="569"/>
      <c r="C22" s="569"/>
      <c r="D22" s="569"/>
      <c r="E22" s="569"/>
      <c r="F22" s="569"/>
      <c r="G22" s="569"/>
      <c r="H22" s="569"/>
      <c r="I22" s="261"/>
    </row>
    <row r="23" spans="1:9">
      <c r="A23" s="540" t="s">
        <v>268</v>
      </c>
      <c r="B23" s="569"/>
      <c r="C23" s="569"/>
      <c r="D23" s="569"/>
      <c r="E23" s="569"/>
      <c r="F23" s="569"/>
      <c r="G23" s="569"/>
      <c r="H23" s="569"/>
      <c r="I23" s="261"/>
    </row>
    <row r="24" spans="1:9" ht="14.25">
      <c r="A24" s="585" t="s">
        <v>269</v>
      </c>
      <c r="B24" s="569"/>
      <c r="C24" s="569"/>
      <c r="D24" s="569"/>
      <c r="E24" s="569"/>
      <c r="F24" s="569"/>
      <c r="G24" s="569"/>
      <c r="H24" s="569"/>
      <c r="I24" s="261"/>
    </row>
    <row r="25" spans="1:9">
      <c r="A25" s="535" t="s">
        <v>1057</v>
      </c>
      <c r="B25" s="569"/>
      <c r="C25" s="569"/>
      <c r="D25" s="569"/>
      <c r="E25" s="569"/>
      <c r="F25" s="569"/>
      <c r="G25" s="569"/>
      <c r="H25" s="569"/>
      <c r="I25" s="261"/>
    </row>
    <row r="26" spans="1:9">
      <c r="A26" s="569"/>
      <c r="B26" s="569"/>
      <c r="C26" s="569"/>
      <c r="D26" s="569"/>
      <c r="E26" s="569"/>
      <c r="F26" s="569"/>
      <c r="G26" s="569"/>
      <c r="H26" s="569"/>
    </row>
    <row r="27" spans="1:9">
      <c r="A27" s="569"/>
      <c r="B27" s="569"/>
      <c r="C27" s="569"/>
      <c r="D27" s="569"/>
      <c r="E27" s="569"/>
      <c r="F27" s="569"/>
      <c r="G27" s="569"/>
      <c r="H27" s="569"/>
    </row>
    <row r="28" spans="1:9">
      <c r="A28" s="569" t="s">
        <v>102</v>
      </c>
      <c r="B28" s="569"/>
      <c r="C28" s="569"/>
      <c r="D28" s="569"/>
      <c r="E28" s="569"/>
      <c r="F28" s="569"/>
      <c r="G28" s="569"/>
      <c r="H28" s="569"/>
    </row>
    <row r="40" spans="1:1">
      <c r="A40" s="304" t="s">
        <v>1078</v>
      </c>
    </row>
  </sheetData>
  <mergeCells count="4">
    <mergeCell ref="A2:G2"/>
    <mergeCell ref="A4:G4"/>
    <mergeCell ref="A5:G5"/>
    <mergeCell ref="A3:G3"/>
  </mergeCells>
  <phoneticPr fontId="2" type="noConversion"/>
  <pageMargins left="0.5" right="0.5" top="0.5" bottom="0.5" header="0.5" footer="0.25"/>
  <pageSetup scale="96" orientation="portrait" r:id="rId1"/>
  <headerFooter alignWithMargins="0">
    <oddFooter>&amp;C&amp;A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I50"/>
  <sheetViews>
    <sheetView showGridLines="0" view="pageBreakPreview" zoomScale="85" zoomScaleNormal="100" zoomScaleSheetLayoutView="85" workbookViewId="0">
      <selection activeCell="A34" sqref="A32:A34"/>
    </sheetView>
  </sheetViews>
  <sheetFormatPr defaultColWidth="9.140625" defaultRowHeight="12.75"/>
  <cols>
    <col min="1" max="1" width="37.85546875" style="1" customWidth="1"/>
    <col min="2" max="2" width="15.85546875" style="1" customWidth="1"/>
    <col min="3" max="3" width="20" style="1" customWidth="1"/>
    <col min="4" max="4" width="12.5703125" style="1" customWidth="1"/>
    <col min="5" max="5" width="16.85546875" style="1" customWidth="1"/>
    <col min="6" max="16384" width="9.140625" style="1"/>
  </cols>
  <sheetData>
    <row r="1" spans="1:9">
      <c r="D1" s="284" t="s">
        <v>102</v>
      </c>
    </row>
    <row r="2" spans="1:9">
      <c r="A2" s="714" t="s">
        <v>587</v>
      </c>
      <c r="B2" s="714"/>
      <c r="C2" s="714"/>
      <c r="D2" s="284" t="s">
        <v>102</v>
      </c>
    </row>
    <row r="3" spans="1:9">
      <c r="A3" s="743" t="s">
        <v>576</v>
      </c>
      <c r="B3" s="717"/>
      <c r="C3" s="717"/>
      <c r="D3" s="293"/>
      <c r="E3" s="293"/>
      <c r="F3" s="293"/>
      <c r="G3" s="293"/>
      <c r="H3" s="293"/>
      <c r="I3" s="293"/>
    </row>
    <row r="4" spans="1:9">
      <c r="A4" s="714" t="s">
        <v>579</v>
      </c>
      <c r="B4" s="714"/>
      <c r="C4" s="714"/>
      <c r="D4" s="107"/>
    </row>
    <row r="5" spans="1:9">
      <c r="A5" s="751" t="s">
        <v>1176</v>
      </c>
      <c r="B5" s="751"/>
      <c r="C5" s="751"/>
      <c r="D5" s="242"/>
    </row>
    <row r="7" spans="1:9">
      <c r="A7" s="110" t="s">
        <v>103</v>
      </c>
      <c r="B7" s="18" t="s">
        <v>106</v>
      </c>
      <c r="C7" s="240">
        <v>45291</v>
      </c>
      <c r="D7" s="240"/>
    </row>
    <row r="8" spans="1:9">
      <c r="A8" s="303" t="s">
        <v>57</v>
      </c>
    </row>
    <row r="9" spans="1:9">
      <c r="A9" s="1" t="s">
        <v>62</v>
      </c>
      <c r="B9" s="107">
        <v>301</v>
      </c>
      <c r="C9" s="143">
        <v>133394</v>
      </c>
      <c r="D9" s="248"/>
    </row>
    <row r="10" spans="1:9">
      <c r="B10" s="107"/>
      <c r="C10" s="38" t="s">
        <v>102</v>
      </c>
      <c r="D10" s="248"/>
    </row>
    <row r="11" spans="1:9">
      <c r="A11" s="1" t="s">
        <v>63</v>
      </c>
      <c r="B11" s="107">
        <v>302</v>
      </c>
      <c r="C11" s="143">
        <v>15267332</v>
      </c>
      <c r="D11" s="248"/>
    </row>
    <row r="12" spans="1:9">
      <c r="B12" s="107"/>
      <c r="C12" s="312"/>
      <c r="D12" s="248"/>
    </row>
    <row r="13" spans="1:9">
      <c r="A13" s="1" t="s">
        <v>64</v>
      </c>
      <c r="B13" s="107">
        <v>303</v>
      </c>
      <c r="C13" s="143">
        <v>291126156</v>
      </c>
      <c r="D13" s="248"/>
    </row>
    <row r="14" spans="1:9">
      <c r="B14" s="107"/>
      <c r="C14" s="248"/>
      <c r="D14" s="248"/>
    </row>
    <row r="15" spans="1:9">
      <c r="A15" s="1" t="s">
        <v>65</v>
      </c>
      <c r="C15" s="249">
        <f>SUM(C9:C13)</f>
        <v>306526882</v>
      </c>
      <c r="D15" s="249"/>
    </row>
    <row r="17" spans="1:4">
      <c r="A17" s="303" t="s">
        <v>847</v>
      </c>
      <c r="C17" s="6"/>
      <c r="D17" s="6"/>
    </row>
    <row r="18" spans="1:4">
      <c r="A18" s="1" t="s">
        <v>108</v>
      </c>
      <c r="B18" s="107">
        <v>389</v>
      </c>
      <c r="C18" s="3">
        <v>18016139</v>
      </c>
      <c r="D18" s="3"/>
    </row>
    <row r="19" spans="1:4">
      <c r="B19" s="107"/>
      <c r="C19" s="6"/>
      <c r="D19" s="6"/>
    </row>
    <row r="20" spans="1:4">
      <c r="A20" s="1" t="s">
        <v>109</v>
      </c>
      <c r="B20" s="107">
        <v>390</v>
      </c>
      <c r="C20" s="3">
        <v>296389474</v>
      </c>
      <c r="D20" s="3"/>
    </row>
    <row r="21" spans="1:4">
      <c r="C21" s="6"/>
      <c r="D21" s="6"/>
    </row>
    <row r="22" spans="1:4">
      <c r="A22" s="1" t="s">
        <v>110</v>
      </c>
      <c r="B22" s="107">
        <v>391</v>
      </c>
      <c r="C22" s="3">
        <v>16840799</v>
      </c>
      <c r="D22" s="3"/>
    </row>
    <row r="23" spans="1:4">
      <c r="B23" s="107"/>
      <c r="C23" s="6"/>
      <c r="D23" s="6"/>
    </row>
    <row r="24" spans="1:4">
      <c r="A24" s="1" t="s">
        <v>111</v>
      </c>
      <c r="B24" s="107">
        <v>392</v>
      </c>
      <c r="C24" s="3">
        <v>8674</v>
      </c>
      <c r="D24" s="3"/>
    </row>
    <row r="25" spans="1:4">
      <c r="B25" s="107"/>
      <c r="C25" s="11"/>
      <c r="D25" s="11"/>
    </row>
    <row r="26" spans="1:4">
      <c r="A26" s="1" t="s">
        <v>112</v>
      </c>
      <c r="B26" s="107">
        <v>393</v>
      </c>
      <c r="C26" s="3">
        <v>3680857</v>
      </c>
      <c r="D26" s="3"/>
    </row>
    <row r="27" spans="1:4">
      <c r="B27" s="107"/>
      <c r="C27" s="11"/>
      <c r="D27" s="11"/>
    </row>
    <row r="28" spans="1:4">
      <c r="B28" s="107"/>
      <c r="C28" s="11"/>
      <c r="D28" s="11"/>
    </row>
    <row r="29" spans="1:4">
      <c r="A29" s="1" t="s">
        <v>113</v>
      </c>
      <c r="B29" s="107">
        <v>394</v>
      </c>
      <c r="C29" s="3">
        <v>52192934</v>
      </c>
      <c r="D29" s="3"/>
    </row>
    <row r="30" spans="1:4">
      <c r="B30" s="107"/>
      <c r="C30" s="11"/>
      <c r="D30" s="11"/>
    </row>
    <row r="31" spans="1:4">
      <c r="A31" s="1" t="s">
        <v>114</v>
      </c>
      <c r="B31" s="107">
        <v>395</v>
      </c>
      <c r="C31" s="3">
        <v>2334352</v>
      </c>
      <c r="D31" s="3"/>
    </row>
    <row r="32" spans="1:4">
      <c r="B32" s="107"/>
      <c r="C32" s="11"/>
      <c r="D32" s="11"/>
    </row>
    <row r="33" spans="1:4">
      <c r="A33" s="1" t="s">
        <v>115</v>
      </c>
      <c r="B33" s="107">
        <v>396</v>
      </c>
      <c r="C33" s="3">
        <v>114334</v>
      </c>
      <c r="D33" s="3"/>
    </row>
    <row r="34" spans="1:4">
      <c r="B34" s="107"/>
      <c r="C34" s="11"/>
      <c r="D34" s="11"/>
    </row>
    <row r="35" spans="1:4">
      <c r="A35" s="1" t="s">
        <v>116</v>
      </c>
      <c r="B35" s="107">
        <v>397</v>
      </c>
      <c r="C35" s="3">
        <v>224961436</v>
      </c>
      <c r="D35" s="3"/>
    </row>
    <row r="36" spans="1:4">
      <c r="B36" s="107"/>
      <c r="C36" s="11"/>
      <c r="D36" s="11"/>
    </row>
    <row r="37" spans="1:4">
      <c r="A37" s="1" t="s">
        <v>117</v>
      </c>
      <c r="B37" s="107">
        <v>398</v>
      </c>
      <c r="C37" s="3">
        <v>11674267</v>
      </c>
      <c r="D37" s="3"/>
    </row>
    <row r="38" spans="1:4">
      <c r="B38" s="107"/>
      <c r="C38" s="11"/>
      <c r="D38" s="11"/>
    </row>
    <row r="39" spans="1:4">
      <c r="A39" s="1" t="s">
        <v>595</v>
      </c>
      <c r="B39" s="107">
        <v>399</v>
      </c>
      <c r="C39" s="11">
        <v>43287</v>
      </c>
      <c r="D39" s="11"/>
    </row>
    <row r="40" spans="1:4">
      <c r="B40" s="107"/>
      <c r="C40" s="11"/>
      <c r="D40" s="11"/>
    </row>
    <row r="41" spans="1:4">
      <c r="C41" s="6"/>
      <c r="D41" s="6"/>
    </row>
    <row r="42" spans="1:4">
      <c r="A42" s="1" t="s">
        <v>199</v>
      </c>
      <c r="C42" s="6">
        <f>SUM(C18:C39)</f>
        <v>626256553</v>
      </c>
      <c r="D42" s="6"/>
    </row>
    <row r="43" spans="1:4">
      <c r="A43" s="303" t="s">
        <v>58</v>
      </c>
      <c r="C43" s="6"/>
      <c r="D43" s="6"/>
    </row>
    <row r="44" spans="1:4">
      <c r="A44" s="254" t="s">
        <v>515</v>
      </c>
      <c r="B44" s="254"/>
      <c r="C44" s="282">
        <f>+C42+C15</f>
        <v>932783435</v>
      </c>
      <c r="D44" s="249"/>
    </row>
    <row r="45" spans="1:4">
      <c r="C45" s="249"/>
      <c r="D45" s="249"/>
    </row>
    <row r="46" spans="1:4">
      <c r="A46" s="1" t="s">
        <v>516</v>
      </c>
      <c r="B46" s="695" t="s">
        <v>1156</v>
      </c>
      <c r="C46" s="249">
        <f>+C44+1386653</f>
        <v>934170088</v>
      </c>
      <c r="D46" s="249"/>
    </row>
    <row r="47" spans="1:4">
      <c r="C47" s="181"/>
      <c r="D47" s="181"/>
    </row>
    <row r="48" spans="1:4">
      <c r="A48" s="7" t="s">
        <v>517</v>
      </c>
    </row>
    <row r="49" spans="1:1">
      <c r="A49" s="283" t="s">
        <v>520</v>
      </c>
    </row>
    <row r="50" spans="1:1">
      <c r="A50" s="283" t="s">
        <v>521</v>
      </c>
    </row>
  </sheetData>
  <mergeCells count="4">
    <mergeCell ref="A2:C2"/>
    <mergeCell ref="A4:C4"/>
    <mergeCell ref="A5:C5"/>
    <mergeCell ref="A3:C3"/>
  </mergeCells>
  <phoneticPr fontId="2" type="noConversion"/>
  <pageMargins left="0.5" right="0.5" top="0.5" bottom="0.5" header="0.5" footer="0.25"/>
  <pageSetup scale="86" orientation="portrait" r:id="rId1"/>
  <headerFooter alignWithMargins="0">
    <oddFooter>&amp;C&amp;A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I23"/>
  <sheetViews>
    <sheetView showGridLines="0" view="pageBreakPreview" topLeftCell="A4" zoomScaleNormal="100" zoomScaleSheetLayoutView="100" workbookViewId="0">
      <selection activeCell="B23" sqref="B23"/>
    </sheetView>
  </sheetViews>
  <sheetFormatPr defaultColWidth="11" defaultRowHeight="12.75"/>
  <cols>
    <col min="1" max="1" width="45.140625" style="67" customWidth="1"/>
    <col min="2" max="3" width="14.5703125" style="67" customWidth="1"/>
    <col min="4" max="4" width="8.5703125" style="67" customWidth="1"/>
    <col min="5" max="5" width="18.5703125" style="67" customWidth="1"/>
    <col min="6" max="6" width="9.140625" style="67" customWidth="1"/>
    <col min="7" max="7" width="10.5703125" style="67" bestFit="1" customWidth="1"/>
    <col min="8" max="10" width="9.140625" style="67" customWidth="1"/>
    <col min="11" max="11" width="10.5703125" style="67" customWidth="1"/>
    <col min="12" max="16384" width="11" style="67"/>
  </cols>
  <sheetData>
    <row r="1" spans="1:9">
      <c r="E1" s="294" t="s">
        <v>102</v>
      </c>
    </row>
    <row r="2" spans="1:9">
      <c r="A2" s="752" t="s">
        <v>587</v>
      </c>
      <c r="B2" s="715"/>
      <c r="C2" s="715"/>
      <c r="D2" s="715"/>
      <c r="E2" s="241"/>
      <c r="F2" s="241"/>
    </row>
    <row r="3" spans="1:9">
      <c r="A3" s="743" t="s">
        <v>567</v>
      </c>
      <c r="B3" s="724"/>
      <c r="C3" s="724"/>
      <c r="D3" s="724"/>
      <c r="E3" s="367"/>
      <c r="F3" s="367"/>
    </row>
    <row r="4" spans="1:9">
      <c r="A4" s="752" t="s">
        <v>806</v>
      </c>
      <c r="B4" s="715"/>
      <c r="C4" s="715"/>
      <c r="D4" s="715"/>
      <c r="E4" s="241"/>
      <c r="F4" s="241"/>
    </row>
    <row r="5" spans="1:9">
      <c r="A5" s="753" t="s">
        <v>1176</v>
      </c>
      <c r="B5" s="715"/>
      <c r="C5" s="715"/>
      <c r="D5" s="715"/>
      <c r="E5" s="241"/>
      <c r="F5" s="241"/>
    </row>
    <row r="6" spans="1:9">
      <c r="B6" s="188"/>
      <c r="C6" s="188"/>
      <c r="D6" s="188"/>
      <c r="E6" s="188"/>
    </row>
    <row r="7" spans="1:9">
      <c r="B7" s="67" t="s">
        <v>102</v>
      </c>
      <c r="C7" s="67" t="s">
        <v>102</v>
      </c>
    </row>
    <row r="8" spans="1:9">
      <c r="A8" s="313" t="s">
        <v>666</v>
      </c>
      <c r="B8" s="266" t="s">
        <v>283</v>
      </c>
      <c r="C8" s="267" t="s">
        <v>346</v>
      </c>
    </row>
    <row r="9" spans="1:9">
      <c r="A9" s="265" t="s">
        <v>347</v>
      </c>
      <c r="B9" s="268">
        <v>188714711</v>
      </c>
      <c r="C9" s="269" t="s">
        <v>848</v>
      </c>
      <c r="E9" s="66"/>
      <c r="G9" s="66"/>
    </row>
    <row r="10" spans="1:9">
      <c r="A10" s="265" t="s">
        <v>662</v>
      </c>
      <c r="B10" s="268">
        <v>5223655</v>
      </c>
      <c r="C10" s="269" t="s">
        <v>663</v>
      </c>
      <c r="D10" s="68"/>
      <c r="E10" s="68"/>
      <c r="G10" s="68"/>
      <c r="H10" s="68"/>
      <c r="I10" s="68"/>
    </row>
    <row r="11" spans="1:9">
      <c r="A11" s="265" t="s">
        <v>661</v>
      </c>
      <c r="B11" s="268">
        <v>5181704</v>
      </c>
      <c r="C11" s="269" t="s">
        <v>664</v>
      </c>
      <c r="D11" s="68"/>
      <c r="E11" s="68"/>
      <c r="G11" s="68"/>
      <c r="H11" s="68"/>
      <c r="I11" s="68"/>
    </row>
    <row r="12" spans="1:9">
      <c r="A12" s="265" t="s">
        <v>596</v>
      </c>
      <c r="B12" s="268">
        <v>16074319</v>
      </c>
      <c r="C12" s="269" t="s">
        <v>597</v>
      </c>
      <c r="D12" s="68"/>
      <c r="E12" s="68"/>
      <c r="G12" s="68"/>
      <c r="H12" s="68"/>
      <c r="I12" s="68"/>
    </row>
    <row r="13" spans="1:9">
      <c r="A13" s="265" t="s">
        <v>99</v>
      </c>
      <c r="B13" s="268">
        <v>102977731</v>
      </c>
      <c r="C13" s="270" t="s">
        <v>348</v>
      </c>
      <c r="D13" s="72"/>
      <c r="E13" s="69"/>
      <c r="G13" s="69"/>
      <c r="H13" s="70"/>
      <c r="I13" s="71"/>
    </row>
    <row r="14" spans="1:9">
      <c r="A14" s="265" t="s">
        <v>100</v>
      </c>
      <c r="B14" s="271">
        <v>177353891</v>
      </c>
      <c r="C14" s="272" t="s">
        <v>349</v>
      </c>
    </row>
    <row r="15" spans="1:9">
      <c r="A15" s="273" t="s">
        <v>120</v>
      </c>
      <c r="B15" s="268">
        <f>17825532+117711</f>
        <v>17943243</v>
      </c>
      <c r="C15" s="270" t="s">
        <v>536</v>
      </c>
      <c r="D15" s="73"/>
      <c r="G15" s="69"/>
      <c r="H15" s="70"/>
      <c r="I15" s="71"/>
    </row>
    <row r="16" spans="1:9">
      <c r="A16" s="274" t="s">
        <v>350</v>
      </c>
      <c r="B16" s="275">
        <v>48894435</v>
      </c>
      <c r="C16" s="276" t="s">
        <v>631</v>
      </c>
    </row>
    <row r="17" spans="1:8">
      <c r="A17" s="369" t="s">
        <v>196</v>
      </c>
      <c r="B17" s="277">
        <f>SUM(B9:B16)</f>
        <v>562363689</v>
      </c>
      <c r="C17" s="368" t="s">
        <v>665</v>
      </c>
      <c r="H17" s="67" t="s">
        <v>102</v>
      </c>
    </row>
    <row r="18" spans="1:8">
      <c r="A18" s="265"/>
      <c r="B18" s="277"/>
      <c r="C18" s="272"/>
    </row>
    <row r="19" spans="1:8">
      <c r="A19" s="370" t="s">
        <v>351</v>
      </c>
      <c r="B19" s="275">
        <v>5622576</v>
      </c>
      <c r="C19" s="276" t="s">
        <v>352</v>
      </c>
    </row>
    <row r="20" spans="1:8">
      <c r="A20" s="265"/>
      <c r="B20" s="277"/>
      <c r="C20" s="272"/>
    </row>
    <row r="21" spans="1:8">
      <c r="A21" s="67" t="s">
        <v>793</v>
      </c>
      <c r="B21" s="37">
        <f>+B17+B19</f>
        <v>567986265</v>
      </c>
      <c r="C21" s="368" t="s">
        <v>353</v>
      </c>
    </row>
    <row r="23" spans="1:8" ht="14.25">
      <c r="A23" s="373" t="s">
        <v>102</v>
      </c>
    </row>
  </sheetData>
  <mergeCells count="4">
    <mergeCell ref="A2:D2"/>
    <mergeCell ref="A3:D3"/>
    <mergeCell ref="A4:D4"/>
    <mergeCell ref="A5:D5"/>
  </mergeCells>
  <phoneticPr fontId="2" type="noConversion"/>
  <conditionalFormatting sqref="H15 H13">
    <cfRule type="cellIs" dxfId="6" priority="1" stopIfTrue="1" operator="equal">
      <formula>FALSE</formula>
    </cfRule>
  </conditionalFormatting>
  <pageMargins left="0.5" right="0.5" top="0.5" bottom="0.5" header="0.5" footer="0.25"/>
  <pageSetup scale="86" orientation="portrait" r:id="rId1"/>
  <headerFooter alignWithMargins="0">
    <oddFooter>&amp;C&amp;A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7"/>
  <sheetViews>
    <sheetView view="pageBreakPreview" zoomScale="60" zoomScaleNormal="100" workbookViewId="0">
      <selection activeCell="P12" sqref="P12"/>
    </sheetView>
  </sheetViews>
  <sheetFormatPr defaultRowHeight="12.75"/>
  <sheetData>
    <row r="1" spans="1:8">
      <c r="A1" s="715" t="s">
        <v>591</v>
      </c>
      <c r="B1" s="715"/>
      <c r="C1" s="715"/>
      <c r="D1" s="715"/>
      <c r="E1" s="715"/>
      <c r="F1" s="715"/>
      <c r="G1" s="715"/>
      <c r="H1" s="715"/>
    </row>
    <row r="2" spans="1:8">
      <c r="A2" s="722" t="s">
        <v>567</v>
      </c>
      <c r="B2" s="715"/>
      <c r="C2" s="715"/>
      <c r="D2" s="715"/>
      <c r="E2" s="715"/>
      <c r="F2" s="715"/>
      <c r="G2" s="715"/>
      <c r="H2" s="715"/>
    </row>
    <row r="3" spans="1:8">
      <c r="A3" s="715" t="s">
        <v>59</v>
      </c>
      <c r="B3" s="715"/>
      <c r="C3" s="715"/>
      <c r="D3" s="715"/>
      <c r="E3" s="715"/>
      <c r="F3" s="715"/>
      <c r="G3" s="715"/>
      <c r="H3" s="715"/>
    </row>
    <row r="7" spans="1:8">
      <c r="B7" t="s">
        <v>581</v>
      </c>
    </row>
  </sheetData>
  <mergeCells count="3">
    <mergeCell ref="A1:H1"/>
    <mergeCell ref="A2:H2"/>
    <mergeCell ref="A3:H3"/>
  </mergeCells>
  <phoneticPr fontId="2" type="noConversion"/>
  <pageMargins left="0.5" right="0.5" top="0.5" bottom="0.5" header="0.5" footer="0.25"/>
  <pageSetup scale="86" orientation="portrait" r:id="rId1"/>
  <headerFooter alignWithMargins="0">
    <oddFooter>&amp;C&amp;A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autoPageBreaks="0" fitToPage="1"/>
  </sheetPr>
  <dimension ref="A1:J254"/>
  <sheetViews>
    <sheetView showOutlineSymbols="0" topLeftCell="A205" zoomScale="70" zoomScaleNormal="70" workbookViewId="0">
      <selection activeCell="B37" sqref="B37"/>
    </sheetView>
  </sheetViews>
  <sheetFormatPr defaultColWidth="12.5703125" defaultRowHeight="12.75"/>
  <cols>
    <col min="1" max="1" width="9.85546875" style="411" customWidth="1"/>
    <col min="2" max="2" width="56.140625" style="406" customWidth="1"/>
    <col min="3" max="3" width="26.5703125" customWidth="1"/>
    <col min="4" max="4" width="27.5703125" style="406" customWidth="1"/>
    <col min="5" max="5" width="12.5703125" style="406"/>
    <col min="6" max="6" width="17" style="406" customWidth="1"/>
    <col min="7" max="7" width="17.42578125" style="406" customWidth="1"/>
    <col min="8" max="8" width="17.140625" style="406" customWidth="1"/>
    <col min="9" max="9" width="14.5703125" style="406" customWidth="1"/>
    <col min="10" max="218" width="12.5703125" style="406"/>
    <col min="219" max="219" width="4.5703125" style="406" customWidth="1"/>
    <col min="220" max="220" width="56.140625" style="406" customWidth="1"/>
    <col min="221" max="221" width="14.5703125" style="406" customWidth="1"/>
    <col min="222" max="222" width="14.5703125" style="406" bestFit="1" customWidth="1"/>
    <col min="223" max="223" width="14.42578125" style="406" customWidth="1"/>
    <col min="224" max="224" width="17" style="406" customWidth="1"/>
    <col min="225" max="225" width="16.5703125" style="406" customWidth="1"/>
    <col min="226" max="226" width="3.85546875" style="406" customWidth="1"/>
    <col min="227" max="229" width="16.5703125" style="406" customWidth="1"/>
    <col min="230" max="230" width="4.140625" style="406" customWidth="1"/>
    <col min="231" max="231" width="14" style="406" customWidth="1"/>
    <col min="232" max="232" width="15.85546875" style="406" customWidth="1"/>
    <col min="233" max="233" width="15.140625" style="406" customWidth="1"/>
    <col min="234" max="234" width="2.5703125" style="406" customWidth="1"/>
    <col min="235" max="235" width="14" style="406" bestFit="1" customWidth="1"/>
    <col min="236" max="236" width="15.85546875" style="406" bestFit="1" customWidth="1"/>
    <col min="237" max="237" width="16.85546875" style="406" customWidth="1"/>
    <col min="238" max="474" width="12.5703125" style="406"/>
    <col min="475" max="475" width="4.5703125" style="406" customWidth="1"/>
    <col min="476" max="476" width="56.140625" style="406" customWidth="1"/>
    <col min="477" max="477" width="14.5703125" style="406" customWidth="1"/>
    <col min="478" max="478" width="14.5703125" style="406" bestFit="1" customWidth="1"/>
    <col min="479" max="479" width="14.42578125" style="406" customWidth="1"/>
    <col min="480" max="480" width="17" style="406" customWidth="1"/>
    <col min="481" max="481" width="16.5703125" style="406" customWidth="1"/>
    <col min="482" max="482" width="3.85546875" style="406" customWidth="1"/>
    <col min="483" max="485" width="16.5703125" style="406" customWidth="1"/>
    <col min="486" max="486" width="4.140625" style="406" customWidth="1"/>
    <col min="487" max="487" width="14" style="406" customWidth="1"/>
    <col min="488" max="488" width="15.85546875" style="406" customWidth="1"/>
    <col min="489" max="489" width="15.140625" style="406" customWidth="1"/>
    <col min="490" max="490" width="2.5703125" style="406" customWidth="1"/>
    <col min="491" max="491" width="14" style="406" bestFit="1" customWidth="1"/>
    <col min="492" max="492" width="15.85546875" style="406" bestFit="1" customWidth="1"/>
    <col min="493" max="493" width="16.85546875" style="406" customWidth="1"/>
    <col min="494" max="730" width="12.5703125" style="406"/>
    <col min="731" max="731" width="4.5703125" style="406" customWidth="1"/>
    <col min="732" max="732" width="56.140625" style="406" customWidth="1"/>
    <col min="733" max="733" width="14.5703125" style="406" customWidth="1"/>
    <col min="734" max="734" width="14.5703125" style="406" bestFit="1" customWidth="1"/>
    <col min="735" max="735" width="14.42578125" style="406" customWidth="1"/>
    <col min="736" max="736" width="17" style="406" customWidth="1"/>
    <col min="737" max="737" width="16.5703125" style="406" customWidth="1"/>
    <col min="738" max="738" width="3.85546875" style="406" customWidth="1"/>
    <col min="739" max="741" width="16.5703125" style="406" customWidth="1"/>
    <col min="742" max="742" width="4.140625" style="406" customWidth="1"/>
    <col min="743" max="743" width="14" style="406" customWidth="1"/>
    <col min="744" max="744" width="15.85546875" style="406" customWidth="1"/>
    <col min="745" max="745" width="15.140625" style="406" customWidth="1"/>
    <col min="746" max="746" width="2.5703125" style="406" customWidth="1"/>
    <col min="747" max="747" width="14" style="406" bestFit="1" customWidth="1"/>
    <col min="748" max="748" width="15.85546875" style="406" bestFit="1" customWidth="1"/>
    <col min="749" max="749" width="16.85546875" style="406" customWidth="1"/>
    <col min="750" max="986" width="12.5703125" style="406"/>
    <col min="987" max="987" width="4.5703125" style="406" customWidth="1"/>
    <col min="988" max="988" width="56.140625" style="406" customWidth="1"/>
    <col min="989" max="989" width="14.5703125" style="406" customWidth="1"/>
    <col min="990" max="990" width="14.5703125" style="406" bestFit="1" customWidth="1"/>
    <col min="991" max="991" width="14.42578125" style="406" customWidth="1"/>
    <col min="992" max="992" width="17" style="406" customWidth="1"/>
    <col min="993" max="993" width="16.5703125" style="406" customWidth="1"/>
    <col min="994" max="994" width="3.85546875" style="406" customWidth="1"/>
    <col min="995" max="997" width="16.5703125" style="406" customWidth="1"/>
    <col min="998" max="998" width="4.140625" style="406" customWidth="1"/>
    <col min="999" max="999" width="14" style="406" customWidth="1"/>
    <col min="1000" max="1000" width="15.85546875" style="406" customWidth="1"/>
    <col min="1001" max="1001" width="15.140625" style="406" customWidth="1"/>
    <col min="1002" max="1002" width="2.5703125" style="406" customWidth="1"/>
    <col min="1003" max="1003" width="14" style="406" bestFit="1" customWidth="1"/>
    <col min="1004" max="1004" width="15.85546875" style="406" bestFit="1" customWidth="1"/>
    <col min="1005" max="1005" width="16.85546875" style="406" customWidth="1"/>
    <col min="1006" max="1242" width="12.5703125" style="406"/>
    <col min="1243" max="1243" width="4.5703125" style="406" customWidth="1"/>
    <col min="1244" max="1244" width="56.140625" style="406" customWidth="1"/>
    <col min="1245" max="1245" width="14.5703125" style="406" customWidth="1"/>
    <col min="1246" max="1246" width="14.5703125" style="406" bestFit="1" customWidth="1"/>
    <col min="1247" max="1247" width="14.42578125" style="406" customWidth="1"/>
    <col min="1248" max="1248" width="17" style="406" customWidth="1"/>
    <col min="1249" max="1249" width="16.5703125" style="406" customWidth="1"/>
    <col min="1250" max="1250" width="3.85546875" style="406" customWidth="1"/>
    <col min="1251" max="1253" width="16.5703125" style="406" customWidth="1"/>
    <col min="1254" max="1254" width="4.140625" style="406" customWidth="1"/>
    <col min="1255" max="1255" width="14" style="406" customWidth="1"/>
    <col min="1256" max="1256" width="15.85546875" style="406" customWidth="1"/>
    <col min="1257" max="1257" width="15.140625" style="406" customWidth="1"/>
    <col min="1258" max="1258" width="2.5703125" style="406" customWidth="1"/>
    <col min="1259" max="1259" width="14" style="406" bestFit="1" customWidth="1"/>
    <col min="1260" max="1260" width="15.85546875" style="406" bestFit="1" customWidth="1"/>
    <col min="1261" max="1261" width="16.85546875" style="406" customWidth="1"/>
    <col min="1262" max="1498" width="12.5703125" style="406"/>
    <col min="1499" max="1499" width="4.5703125" style="406" customWidth="1"/>
    <col min="1500" max="1500" width="56.140625" style="406" customWidth="1"/>
    <col min="1501" max="1501" width="14.5703125" style="406" customWidth="1"/>
    <col min="1502" max="1502" width="14.5703125" style="406" bestFit="1" customWidth="1"/>
    <col min="1503" max="1503" width="14.42578125" style="406" customWidth="1"/>
    <col min="1504" max="1504" width="17" style="406" customWidth="1"/>
    <col min="1505" max="1505" width="16.5703125" style="406" customWidth="1"/>
    <col min="1506" max="1506" width="3.85546875" style="406" customWidth="1"/>
    <col min="1507" max="1509" width="16.5703125" style="406" customWidth="1"/>
    <col min="1510" max="1510" width="4.140625" style="406" customWidth="1"/>
    <col min="1511" max="1511" width="14" style="406" customWidth="1"/>
    <col min="1512" max="1512" width="15.85546875" style="406" customWidth="1"/>
    <col min="1513" max="1513" width="15.140625" style="406" customWidth="1"/>
    <col min="1514" max="1514" width="2.5703125" style="406" customWidth="1"/>
    <col min="1515" max="1515" width="14" style="406" bestFit="1" customWidth="1"/>
    <col min="1516" max="1516" width="15.85546875" style="406" bestFit="1" customWidth="1"/>
    <col min="1517" max="1517" width="16.85546875" style="406" customWidth="1"/>
    <col min="1518" max="1754" width="12.5703125" style="406"/>
    <col min="1755" max="1755" width="4.5703125" style="406" customWidth="1"/>
    <col min="1756" max="1756" width="56.140625" style="406" customWidth="1"/>
    <col min="1757" max="1757" width="14.5703125" style="406" customWidth="1"/>
    <col min="1758" max="1758" width="14.5703125" style="406" bestFit="1" customWidth="1"/>
    <col min="1759" max="1759" width="14.42578125" style="406" customWidth="1"/>
    <col min="1760" max="1760" width="17" style="406" customWidth="1"/>
    <col min="1761" max="1761" width="16.5703125" style="406" customWidth="1"/>
    <col min="1762" max="1762" width="3.85546875" style="406" customWidth="1"/>
    <col min="1763" max="1765" width="16.5703125" style="406" customWidth="1"/>
    <col min="1766" max="1766" width="4.140625" style="406" customWidth="1"/>
    <col min="1767" max="1767" width="14" style="406" customWidth="1"/>
    <col min="1768" max="1768" width="15.85546875" style="406" customWidth="1"/>
    <col min="1769" max="1769" width="15.140625" style="406" customWidth="1"/>
    <col min="1770" max="1770" width="2.5703125" style="406" customWidth="1"/>
    <col min="1771" max="1771" width="14" style="406" bestFit="1" customWidth="1"/>
    <col min="1772" max="1772" width="15.85546875" style="406" bestFit="1" customWidth="1"/>
    <col min="1773" max="1773" width="16.85546875" style="406" customWidth="1"/>
    <col min="1774" max="2010" width="12.5703125" style="406"/>
    <col min="2011" max="2011" width="4.5703125" style="406" customWidth="1"/>
    <col min="2012" max="2012" width="56.140625" style="406" customWidth="1"/>
    <col min="2013" max="2013" width="14.5703125" style="406" customWidth="1"/>
    <col min="2014" max="2014" width="14.5703125" style="406" bestFit="1" customWidth="1"/>
    <col min="2015" max="2015" width="14.42578125" style="406" customWidth="1"/>
    <col min="2016" max="2016" width="17" style="406" customWidth="1"/>
    <col min="2017" max="2017" width="16.5703125" style="406" customWidth="1"/>
    <col min="2018" max="2018" width="3.85546875" style="406" customWidth="1"/>
    <col min="2019" max="2021" width="16.5703125" style="406" customWidth="1"/>
    <col min="2022" max="2022" width="4.140625" style="406" customWidth="1"/>
    <col min="2023" max="2023" width="14" style="406" customWidth="1"/>
    <col min="2024" max="2024" width="15.85546875" style="406" customWidth="1"/>
    <col min="2025" max="2025" width="15.140625" style="406" customWidth="1"/>
    <col min="2026" max="2026" width="2.5703125" style="406" customWidth="1"/>
    <col min="2027" max="2027" width="14" style="406" bestFit="1" customWidth="1"/>
    <col min="2028" max="2028" width="15.85546875" style="406" bestFit="1" customWidth="1"/>
    <col min="2029" max="2029" width="16.85546875" style="406" customWidth="1"/>
    <col min="2030" max="2266" width="12.5703125" style="406"/>
    <col min="2267" max="2267" width="4.5703125" style="406" customWidth="1"/>
    <col min="2268" max="2268" width="56.140625" style="406" customWidth="1"/>
    <col min="2269" max="2269" width="14.5703125" style="406" customWidth="1"/>
    <col min="2270" max="2270" width="14.5703125" style="406" bestFit="1" customWidth="1"/>
    <col min="2271" max="2271" width="14.42578125" style="406" customWidth="1"/>
    <col min="2272" max="2272" width="17" style="406" customWidth="1"/>
    <col min="2273" max="2273" width="16.5703125" style="406" customWidth="1"/>
    <col min="2274" max="2274" width="3.85546875" style="406" customWidth="1"/>
    <col min="2275" max="2277" width="16.5703125" style="406" customWidth="1"/>
    <col min="2278" max="2278" width="4.140625" style="406" customWidth="1"/>
    <col min="2279" max="2279" width="14" style="406" customWidth="1"/>
    <col min="2280" max="2280" width="15.85546875" style="406" customWidth="1"/>
    <col min="2281" max="2281" width="15.140625" style="406" customWidth="1"/>
    <col min="2282" max="2282" width="2.5703125" style="406" customWidth="1"/>
    <col min="2283" max="2283" width="14" style="406" bestFit="1" customWidth="1"/>
    <col min="2284" max="2284" width="15.85546875" style="406" bestFit="1" customWidth="1"/>
    <col min="2285" max="2285" width="16.85546875" style="406" customWidth="1"/>
    <col min="2286" max="2522" width="12.5703125" style="406"/>
    <col min="2523" max="2523" width="4.5703125" style="406" customWidth="1"/>
    <col min="2524" max="2524" width="56.140625" style="406" customWidth="1"/>
    <col min="2525" max="2525" width="14.5703125" style="406" customWidth="1"/>
    <col min="2526" max="2526" width="14.5703125" style="406" bestFit="1" customWidth="1"/>
    <col min="2527" max="2527" width="14.42578125" style="406" customWidth="1"/>
    <col min="2528" max="2528" width="17" style="406" customWidth="1"/>
    <col min="2529" max="2529" width="16.5703125" style="406" customWidth="1"/>
    <col min="2530" max="2530" width="3.85546875" style="406" customWidth="1"/>
    <col min="2531" max="2533" width="16.5703125" style="406" customWidth="1"/>
    <col min="2534" max="2534" width="4.140625" style="406" customWidth="1"/>
    <col min="2535" max="2535" width="14" style="406" customWidth="1"/>
    <col min="2536" max="2536" width="15.85546875" style="406" customWidth="1"/>
    <col min="2537" max="2537" width="15.140625" style="406" customWidth="1"/>
    <col min="2538" max="2538" width="2.5703125" style="406" customWidth="1"/>
    <col min="2539" max="2539" width="14" style="406" bestFit="1" customWidth="1"/>
    <col min="2540" max="2540" width="15.85546875" style="406" bestFit="1" customWidth="1"/>
    <col min="2541" max="2541" width="16.85546875" style="406" customWidth="1"/>
    <col min="2542" max="2778" width="12.5703125" style="406"/>
    <col min="2779" max="2779" width="4.5703125" style="406" customWidth="1"/>
    <col min="2780" max="2780" width="56.140625" style="406" customWidth="1"/>
    <col min="2781" max="2781" width="14.5703125" style="406" customWidth="1"/>
    <col min="2782" max="2782" width="14.5703125" style="406" bestFit="1" customWidth="1"/>
    <col min="2783" max="2783" width="14.42578125" style="406" customWidth="1"/>
    <col min="2784" max="2784" width="17" style="406" customWidth="1"/>
    <col min="2785" max="2785" width="16.5703125" style="406" customWidth="1"/>
    <col min="2786" max="2786" width="3.85546875" style="406" customWidth="1"/>
    <col min="2787" max="2789" width="16.5703125" style="406" customWidth="1"/>
    <col min="2790" max="2790" width="4.140625" style="406" customWidth="1"/>
    <col min="2791" max="2791" width="14" style="406" customWidth="1"/>
    <col min="2792" max="2792" width="15.85546875" style="406" customWidth="1"/>
    <col min="2793" max="2793" width="15.140625" style="406" customWidth="1"/>
    <col min="2794" max="2794" width="2.5703125" style="406" customWidth="1"/>
    <col min="2795" max="2795" width="14" style="406" bestFit="1" customWidth="1"/>
    <col min="2796" max="2796" width="15.85546875" style="406" bestFit="1" customWidth="1"/>
    <col min="2797" max="2797" width="16.85546875" style="406" customWidth="1"/>
    <col min="2798" max="3034" width="12.5703125" style="406"/>
    <col min="3035" max="3035" width="4.5703125" style="406" customWidth="1"/>
    <col min="3036" max="3036" width="56.140625" style="406" customWidth="1"/>
    <col min="3037" max="3037" width="14.5703125" style="406" customWidth="1"/>
    <col min="3038" max="3038" width="14.5703125" style="406" bestFit="1" customWidth="1"/>
    <col min="3039" max="3039" width="14.42578125" style="406" customWidth="1"/>
    <col min="3040" max="3040" width="17" style="406" customWidth="1"/>
    <col min="3041" max="3041" width="16.5703125" style="406" customWidth="1"/>
    <col min="3042" max="3042" width="3.85546875" style="406" customWidth="1"/>
    <col min="3043" max="3045" width="16.5703125" style="406" customWidth="1"/>
    <col min="3046" max="3046" width="4.140625" style="406" customWidth="1"/>
    <col min="3047" max="3047" width="14" style="406" customWidth="1"/>
    <col min="3048" max="3048" width="15.85546875" style="406" customWidth="1"/>
    <col min="3049" max="3049" width="15.140625" style="406" customWidth="1"/>
    <col min="3050" max="3050" width="2.5703125" style="406" customWidth="1"/>
    <col min="3051" max="3051" width="14" style="406" bestFit="1" customWidth="1"/>
    <col min="3052" max="3052" width="15.85546875" style="406" bestFit="1" customWidth="1"/>
    <col min="3053" max="3053" width="16.85546875" style="406" customWidth="1"/>
    <col min="3054" max="3290" width="12.5703125" style="406"/>
    <col min="3291" max="3291" width="4.5703125" style="406" customWidth="1"/>
    <col min="3292" max="3292" width="56.140625" style="406" customWidth="1"/>
    <col min="3293" max="3293" width="14.5703125" style="406" customWidth="1"/>
    <col min="3294" max="3294" width="14.5703125" style="406" bestFit="1" customWidth="1"/>
    <col min="3295" max="3295" width="14.42578125" style="406" customWidth="1"/>
    <col min="3296" max="3296" width="17" style="406" customWidth="1"/>
    <col min="3297" max="3297" width="16.5703125" style="406" customWidth="1"/>
    <col min="3298" max="3298" width="3.85546875" style="406" customWidth="1"/>
    <col min="3299" max="3301" width="16.5703125" style="406" customWidth="1"/>
    <col min="3302" max="3302" width="4.140625" style="406" customWidth="1"/>
    <col min="3303" max="3303" width="14" style="406" customWidth="1"/>
    <col min="3304" max="3304" width="15.85546875" style="406" customWidth="1"/>
    <col min="3305" max="3305" width="15.140625" style="406" customWidth="1"/>
    <col min="3306" max="3306" width="2.5703125" style="406" customWidth="1"/>
    <col min="3307" max="3307" width="14" style="406" bestFit="1" customWidth="1"/>
    <col min="3308" max="3308" width="15.85546875" style="406" bestFit="1" customWidth="1"/>
    <col min="3309" max="3309" width="16.85546875" style="406" customWidth="1"/>
    <col min="3310" max="3546" width="12.5703125" style="406"/>
    <col min="3547" max="3547" width="4.5703125" style="406" customWidth="1"/>
    <col min="3548" max="3548" width="56.140625" style="406" customWidth="1"/>
    <col min="3549" max="3549" width="14.5703125" style="406" customWidth="1"/>
    <col min="3550" max="3550" width="14.5703125" style="406" bestFit="1" customWidth="1"/>
    <col min="3551" max="3551" width="14.42578125" style="406" customWidth="1"/>
    <col min="3552" max="3552" width="17" style="406" customWidth="1"/>
    <col min="3553" max="3553" width="16.5703125" style="406" customWidth="1"/>
    <col min="3554" max="3554" width="3.85546875" style="406" customWidth="1"/>
    <col min="3555" max="3557" width="16.5703125" style="406" customWidth="1"/>
    <col min="3558" max="3558" width="4.140625" style="406" customWidth="1"/>
    <col min="3559" max="3559" width="14" style="406" customWidth="1"/>
    <col min="3560" max="3560" width="15.85546875" style="406" customWidth="1"/>
    <col min="3561" max="3561" width="15.140625" style="406" customWidth="1"/>
    <col min="3562" max="3562" width="2.5703125" style="406" customWidth="1"/>
    <col min="3563" max="3563" width="14" style="406" bestFit="1" customWidth="1"/>
    <col min="3564" max="3564" width="15.85546875" style="406" bestFit="1" customWidth="1"/>
    <col min="3565" max="3565" width="16.85546875" style="406" customWidth="1"/>
    <col min="3566" max="3802" width="12.5703125" style="406"/>
    <col min="3803" max="3803" width="4.5703125" style="406" customWidth="1"/>
    <col min="3804" max="3804" width="56.140625" style="406" customWidth="1"/>
    <col min="3805" max="3805" width="14.5703125" style="406" customWidth="1"/>
    <col min="3806" max="3806" width="14.5703125" style="406" bestFit="1" customWidth="1"/>
    <col min="3807" max="3807" width="14.42578125" style="406" customWidth="1"/>
    <col min="3808" max="3808" width="17" style="406" customWidth="1"/>
    <col min="3809" max="3809" width="16.5703125" style="406" customWidth="1"/>
    <col min="3810" max="3810" width="3.85546875" style="406" customWidth="1"/>
    <col min="3811" max="3813" width="16.5703125" style="406" customWidth="1"/>
    <col min="3814" max="3814" width="4.140625" style="406" customWidth="1"/>
    <col min="3815" max="3815" width="14" style="406" customWidth="1"/>
    <col min="3816" max="3816" width="15.85546875" style="406" customWidth="1"/>
    <col min="3817" max="3817" width="15.140625" style="406" customWidth="1"/>
    <col min="3818" max="3818" width="2.5703125" style="406" customWidth="1"/>
    <col min="3819" max="3819" width="14" style="406" bestFit="1" customWidth="1"/>
    <col min="3820" max="3820" width="15.85546875" style="406" bestFit="1" customWidth="1"/>
    <col min="3821" max="3821" width="16.85546875" style="406" customWidth="1"/>
    <col min="3822" max="4058" width="12.5703125" style="406"/>
    <col min="4059" max="4059" width="4.5703125" style="406" customWidth="1"/>
    <col min="4060" max="4060" width="56.140625" style="406" customWidth="1"/>
    <col min="4061" max="4061" width="14.5703125" style="406" customWidth="1"/>
    <col min="4062" max="4062" width="14.5703125" style="406" bestFit="1" customWidth="1"/>
    <col min="4063" max="4063" width="14.42578125" style="406" customWidth="1"/>
    <col min="4064" max="4064" width="17" style="406" customWidth="1"/>
    <col min="4065" max="4065" width="16.5703125" style="406" customWidth="1"/>
    <col min="4066" max="4066" width="3.85546875" style="406" customWidth="1"/>
    <col min="4067" max="4069" width="16.5703125" style="406" customWidth="1"/>
    <col min="4070" max="4070" width="4.140625" style="406" customWidth="1"/>
    <col min="4071" max="4071" width="14" style="406" customWidth="1"/>
    <col min="4072" max="4072" width="15.85546875" style="406" customWidth="1"/>
    <col min="4073" max="4073" width="15.140625" style="406" customWidth="1"/>
    <col min="4074" max="4074" width="2.5703125" style="406" customWidth="1"/>
    <col min="4075" max="4075" width="14" style="406" bestFit="1" customWidth="1"/>
    <col min="4076" max="4076" width="15.85546875" style="406" bestFit="1" customWidth="1"/>
    <col min="4077" max="4077" width="16.85546875" style="406" customWidth="1"/>
    <col min="4078" max="4314" width="12.5703125" style="406"/>
    <col min="4315" max="4315" width="4.5703125" style="406" customWidth="1"/>
    <col min="4316" max="4316" width="56.140625" style="406" customWidth="1"/>
    <col min="4317" max="4317" width="14.5703125" style="406" customWidth="1"/>
    <col min="4318" max="4318" width="14.5703125" style="406" bestFit="1" customWidth="1"/>
    <col min="4319" max="4319" width="14.42578125" style="406" customWidth="1"/>
    <col min="4320" max="4320" width="17" style="406" customWidth="1"/>
    <col min="4321" max="4321" width="16.5703125" style="406" customWidth="1"/>
    <col min="4322" max="4322" width="3.85546875" style="406" customWidth="1"/>
    <col min="4323" max="4325" width="16.5703125" style="406" customWidth="1"/>
    <col min="4326" max="4326" width="4.140625" style="406" customWidth="1"/>
    <col min="4327" max="4327" width="14" style="406" customWidth="1"/>
    <col min="4328" max="4328" width="15.85546875" style="406" customWidth="1"/>
    <col min="4329" max="4329" width="15.140625" style="406" customWidth="1"/>
    <col min="4330" max="4330" width="2.5703125" style="406" customWidth="1"/>
    <col min="4331" max="4331" width="14" style="406" bestFit="1" customWidth="1"/>
    <col min="4332" max="4332" width="15.85546875" style="406" bestFit="1" customWidth="1"/>
    <col min="4333" max="4333" width="16.85546875" style="406" customWidth="1"/>
    <col min="4334" max="4570" width="12.5703125" style="406"/>
    <col min="4571" max="4571" width="4.5703125" style="406" customWidth="1"/>
    <col min="4572" max="4572" width="56.140625" style="406" customWidth="1"/>
    <col min="4573" max="4573" width="14.5703125" style="406" customWidth="1"/>
    <col min="4574" max="4574" width="14.5703125" style="406" bestFit="1" customWidth="1"/>
    <col min="4575" max="4575" width="14.42578125" style="406" customWidth="1"/>
    <col min="4576" max="4576" width="17" style="406" customWidth="1"/>
    <col min="4577" max="4577" width="16.5703125" style="406" customWidth="1"/>
    <col min="4578" max="4578" width="3.85546875" style="406" customWidth="1"/>
    <col min="4579" max="4581" width="16.5703125" style="406" customWidth="1"/>
    <col min="4582" max="4582" width="4.140625" style="406" customWidth="1"/>
    <col min="4583" max="4583" width="14" style="406" customWidth="1"/>
    <col min="4584" max="4584" width="15.85546875" style="406" customWidth="1"/>
    <col min="4585" max="4585" width="15.140625" style="406" customWidth="1"/>
    <col min="4586" max="4586" width="2.5703125" style="406" customWidth="1"/>
    <col min="4587" max="4587" width="14" style="406" bestFit="1" customWidth="1"/>
    <col min="4588" max="4588" width="15.85546875" style="406" bestFit="1" customWidth="1"/>
    <col min="4589" max="4589" width="16.85546875" style="406" customWidth="1"/>
    <col min="4590" max="4826" width="12.5703125" style="406"/>
    <col min="4827" max="4827" width="4.5703125" style="406" customWidth="1"/>
    <col min="4828" max="4828" width="56.140625" style="406" customWidth="1"/>
    <col min="4829" max="4829" width="14.5703125" style="406" customWidth="1"/>
    <col min="4830" max="4830" width="14.5703125" style="406" bestFit="1" customWidth="1"/>
    <col min="4831" max="4831" width="14.42578125" style="406" customWidth="1"/>
    <col min="4832" max="4832" width="17" style="406" customWidth="1"/>
    <col min="4833" max="4833" width="16.5703125" style="406" customWidth="1"/>
    <col min="4834" max="4834" width="3.85546875" style="406" customWidth="1"/>
    <col min="4835" max="4837" width="16.5703125" style="406" customWidth="1"/>
    <col min="4838" max="4838" width="4.140625" style="406" customWidth="1"/>
    <col min="4839" max="4839" width="14" style="406" customWidth="1"/>
    <col min="4840" max="4840" width="15.85546875" style="406" customWidth="1"/>
    <col min="4841" max="4841" width="15.140625" style="406" customWidth="1"/>
    <col min="4842" max="4842" width="2.5703125" style="406" customWidth="1"/>
    <col min="4843" max="4843" width="14" style="406" bestFit="1" customWidth="1"/>
    <col min="4844" max="4844" width="15.85546875" style="406" bestFit="1" customWidth="1"/>
    <col min="4845" max="4845" width="16.85546875" style="406" customWidth="1"/>
    <col min="4846" max="5082" width="12.5703125" style="406"/>
    <col min="5083" max="5083" width="4.5703125" style="406" customWidth="1"/>
    <col min="5084" max="5084" width="56.140625" style="406" customWidth="1"/>
    <col min="5085" max="5085" width="14.5703125" style="406" customWidth="1"/>
    <col min="5086" max="5086" width="14.5703125" style="406" bestFit="1" customWidth="1"/>
    <col min="5087" max="5087" width="14.42578125" style="406" customWidth="1"/>
    <col min="5088" max="5088" width="17" style="406" customWidth="1"/>
    <col min="5089" max="5089" width="16.5703125" style="406" customWidth="1"/>
    <col min="5090" max="5090" width="3.85546875" style="406" customWidth="1"/>
    <col min="5091" max="5093" width="16.5703125" style="406" customWidth="1"/>
    <col min="5094" max="5094" width="4.140625" style="406" customWidth="1"/>
    <col min="5095" max="5095" width="14" style="406" customWidth="1"/>
    <col min="5096" max="5096" width="15.85546875" style="406" customWidth="1"/>
    <col min="5097" max="5097" width="15.140625" style="406" customWidth="1"/>
    <col min="5098" max="5098" width="2.5703125" style="406" customWidth="1"/>
    <col min="5099" max="5099" width="14" style="406" bestFit="1" customWidth="1"/>
    <col min="5100" max="5100" width="15.85546875" style="406" bestFit="1" customWidth="1"/>
    <col min="5101" max="5101" width="16.85546875" style="406" customWidth="1"/>
    <col min="5102" max="5338" width="12.5703125" style="406"/>
    <col min="5339" max="5339" width="4.5703125" style="406" customWidth="1"/>
    <col min="5340" max="5340" width="56.140625" style="406" customWidth="1"/>
    <col min="5341" max="5341" width="14.5703125" style="406" customWidth="1"/>
    <col min="5342" max="5342" width="14.5703125" style="406" bestFit="1" customWidth="1"/>
    <col min="5343" max="5343" width="14.42578125" style="406" customWidth="1"/>
    <col min="5344" max="5344" width="17" style="406" customWidth="1"/>
    <col min="5345" max="5345" width="16.5703125" style="406" customWidth="1"/>
    <col min="5346" max="5346" width="3.85546875" style="406" customWidth="1"/>
    <col min="5347" max="5349" width="16.5703125" style="406" customWidth="1"/>
    <col min="5350" max="5350" width="4.140625" style="406" customWidth="1"/>
    <col min="5351" max="5351" width="14" style="406" customWidth="1"/>
    <col min="5352" max="5352" width="15.85546875" style="406" customWidth="1"/>
    <col min="5353" max="5353" width="15.140625" style="406" customWidth="1"/>
    <col min="5354" max="5354" width="2.5703125" style="406" customWidth="1"/>
    <col min="5355" max="5355" width="14" style="406" bestFit="1" customWidth="1"/>
    <col min="5356" max="5356" width="15.85546875" style="406" bestFit="1" customWidth="1"/>
    <col min="5357" max="5357" width="16.85546875" style="406" customWidth="1"/>
    <col min="5358" max="5594" width="12.5703125" style="406"/>
    <col min="5595" max="5595" width="4.5703125" style="406" customWidth="1"/>
    <col min="5596" max="5596" width="56.140625" style="406" customWidth="1"/>
    <col min="5597" max="5597" width="14.5703125" style="406" customWidth="1"/>
    <col min="5598" max="5598" width="14.5703125" style="406" bestFit="1" customWidth="1"/>
    <col min="5599" max="5599" width="14.42578125" style="406" customWidth="1"/>
    <col min="5600" max="5600" width="17" style="406" customWidth="1"/>
    <col min="5601" max="5601" width="16.5703125" style="406" customWidth="1"/>
    <col min="5602" max="5602" width="3.85546875" style="406" customWidth="1"/>
    <col min="5603" max="5605" width="16.5703125" style="406" customWidth="1"/>
    <col min="5606" max="5606" width="4.140625" style="406" customWidth="1"/>
    <col min="5607" max="5607" width="14" style="406" customWidth="1"/>
    <col min="5608" max="5608" width="15.85546875" style="406" customWidth="1"/>
    <col min="5609" max="5609" width="15.140625" style="406" customWidth="1"/>
    <col min="5610" max="5610" width="2.5703125" style="406" customWidth="1"/>
    <col min="5611" max="5611" width="14" style="406" bestFit="1" customWidth="1"/>
    <col min="5612" max="5612" width="15.85546875" style="406" bestFit="1" customWidth="1"/>
    <col min="5613" max="5613" width="16.85546875" style="406" customWidth="1"/>
    <col min="5614" max="5850" width="12.5703125" style="406"/>
    <col min="5851" max="5851" width="4.5703125" style="406" customWidth="1"/>
    <col min="5852" max="5852" width="56.140625" style="406" customWidth="1"/>
    <col min="5853" max="5853" width="14.5703125" style="406" customWidth="1"/>
    <col min="5854" max="5854" width="14.5703125" style="406" bestFit="1" customWidth="1"/>
    <col min="5855" max="5855" width="14.42578125" style="406" customWidth="1"/>
    <col min="5856" max="5856" width="17" style="406" customWidth="1"/>
    <col min="5857" max="5857" width="16.5703125" style="406" customWidth="1"/>
    <col min="5858" max="5858" width="3.85546875" style="406" customWidth="1"/>
    <col min="5859" max="5861" width="16.5703125" style="406" customWidth="1"/>
    <col min="5862" max="5862" width="4.140625" style="406" customWidth="1"/>
    <col min="5863" max="5863" width="14" style="406" customWidth="1"/>
    <col min="5864" max="5864" width="15.85546875" style="406" customWidth="1"/>
    <col min="5865" max="5865" width="15.140625" style="406" customWidth="1"/>
    <col min="5866" max="5866" width="2.5703125" style="406" customWidth="1"/>
    <col min="5867" max="5867" width="14" style="406" bestFit="1" customWidth="1"/>
    <col min="5868" max="5868" width="15.85546875" style="406" bestFit="1" customWidth="1"/>
    <col min="5869" max="5869" width="16.85546875" style="406" customWidth="1"/>
    <col min="5870" max="6106" width="12.5703125" style="406"/>
    <col min="6107" max="6107" width="4.5703125" style="406" customWidth="1"/>
    <col min="6108" max="6108" width="56.140625" style="406" customWidth="1"/>
    <col min="6109" max="6109" width="14.5703125" style="406" customWidth="1"/>
    <col min="6110" max="6110" width="14.5703125" style="406" bestFit="1" customWidth="1"/>
    <col min="6111" max="6111" width="14.42578125" style="406" customWidth="1"/>
    <col min="6112" max="6112" width="17" style="406" customWidth="1"/>
    <col min="6113" max="6113" width="16.5703125" style="406" customWidth="1"/>
    <col min="6114" max="6114" width="3.85546875" style="406" customWidth="1"/>
    <col min="6115" max="6117" width="16.5703125" style="406" customWidth="1"/>
    <col min="6118" max="6118" width="4.140625" style="406" customWidth="1"/>
    <col min="6119" max="6119" width="14" style="406" customWidth="1"/>
    <col min="6120" max="6120" width="15.85546875" style="406" customWidth="1"/>
    <col min="6121" max="6121" width="15.140625" style="406" customWidth="1"/>
    <col min="6122" max="6122" width="2.5703125" style="406" customWidth="1"/>
    <col min="6123" max="6123" width="14" style="406" bestFit="1" customWidth="1"/>
    <col min="6124" max="6124" width="15.85546875" style="406" bestFit="1" customWidth="1"/>
    <col min="6125" max="6125" width="16.85546875" style="406" customWidth="1"/>
    <col min="6126" max="6362" width="12.5703125" style="406"/>
    <col min="6363" max="6363" width="4.5703125" style="406" customWidth="1"/>
    <col min="6364" max="6364" width="56.140625" style="406" customWidth="1"/>
    <col min="6365" max="6365" width="14.5703125" style="406" customWidth="1"/>
    <col min="6366" max="6366" width="14.5703125" style="406" bestFit="1" customWidth="1"/>
    <col min="6367" max="6367" width="14.42578125" style="406" customWidth="1"/>
    <col min="6368" max="6368" width="17" style="406" customWidth="1"/>
    <col min="6369" max="6369" width="16.5703125" style="406" customWidth="1"/>
    <col min="6370" max="6370" width="3.85546875" style="406" customWidth="1"/>
    <col min="6371" max="6373" width="16.5703125" style="406" customWidth="1"/>
    <col min="6374" max="6374" width="4.140625" style="406" customWidth="1"/>
    <col min="6375" max="6375" width="14" style="406" customWidth="1"/>
    <col min="6376" max="6376" width="15.85546875" style="406" customWidth="1"/>
    <col min="6377" max="6377" width="15.140625" style="406" customWidth="1"/>
    <col min="6378" max="6378" width="2.5703125" style="406" customWidth="1"/>
    <col min="6379" max="6379" width="14" style="406" bestFit="1" customWidth="1"/>
    <col min="6380" max="6380" width="15.85546875" style="406" bestFit="1" customWidth="1"/>
    <col min="6381" max="6381" width="16.85546875" style="406" customWidth="1"/>
    <col min="6382" max="6618" width="12.5703125" style="406"/>
    <col min="6619" max="6619" width="4.5703125" style="406" customWidth="1"/>
    <col min="6620" max="6620" width="56.140625" style="406" customWidth="1"/>
    <col min="6621" max="6621" width="14.5703125" style="406" customWidth="1"/>
    <col min="6622" max="6622" width="14.5703125" style="406" bestFit="1" customWidth="1"/>
    <col min="6623" max="6623" width="14.42578125" style="406" customWidth="1"/>
    <col min="6624" max="6624" width="17" style="406" customWidth="1"/>
    <col min="6625" max="6625" width="16.5703125" style="406" customWidth="1"/>
    <col min="6626" max="6626" width="3.85546875" style="406" customWidth="1"/>
    <col min="6627" max="6629" width="16.5703125" style="406" customWidth="1"/>
    <col min="6630" max="6630" width="4.140625" style="406" customWidth="1"/>
    <col min="6631" max="6631" width="14" style="406" customWidth="1"/>
    <col min="6632" max="6632" width="15.85546875" style="406" customWidth="1"/>
    <col min="6633" max="6633" width="15.140625" style="406" customWidth="1"/>
    <col min="6634" max="6634" width="2.5703125" style="406" customWidth="1"/>
    <col min="6635" max="6635" width="14" style="406" bestFit="1" customWidth="1"/>
    <col min="6636" max="6636" width="15.85546875" style="406" bestFit="1" customWidth="1"/>
    <col min="6637" max="6637" width="16.85546875" style="406" customWidth="1"/>
    <col min="6638" max="6874" width="12.5703125" style="406"/>
    <col min="6875" max="6875" width="4.5703125" style="406" customWidth="1"/>
    <col min="6876" max="6876" width="56.140625" style="406" customWidth="1"/>
    <col min="6877" max="6877" width="14.5703125" style="406" customWidth="1"/>
    <col min="6878" max="6878" width="14.5703125" style="406" bestFit="1" customWidth="1"/>
    <col min="6879" max="6879" width="14.42578125" style="406" customWidth="1"/>
    <col min="6880" max="6880" width="17" style="406" customWidth="1"/>
    <col min="6881" max="6881" width="16.5703125" style="406" customWidth="1"/>
    <col min="6882" max="6882" width="3.85546875" style="406" customWidth="1"/>
    <col min="6883" max="6885" width="16.5703125" style="406" customWidth="1"/>
    <col min="6886" max="6886" width="4.140625" style="406" customWidth="1"/>
    <col min="6887" max="6887" width="14" style="406" customWidth="1"/>
    <col min="6888" max="6888" width="15.85546875" style="406" customWidth="1"/>
    <col min="6889" max="6889" width="15.140625" style="406" customWidth="1"/>
    <col min="6890" max="6890" width="2.5703125" style="406" customWidth="1"/>
    <col min="6891" max="6891" width="14" style="406" bestFit="1" customWidth="1"/>
    <col min="6892" max="6892" width="15.85546875" style="406" bestFit="1" customWidth="1"/>
    <col min="6893" max="6893" width="16.85546875" style="406" customWidth="1"/>
    <col min="6894" max="7130" width="12.5703125" style="406"/>
    <col min="7131" max="7131" width="4.5703125" style="406" customWidth="1"/>
    <col min="7132" max="7132" width="56.140625" style="406" customWidth="1"/>
    <col min="7133" max="7133" width="14.5703125" style="406" customWidth="1"/>
    <col min="7134" max="7134" width="14.5703125" style="406" bestFit="1" customWidth="1"/>
    <col min="7135" max="7135" width="14.42578125" style="406" customWidth="1"/>
    <col min="7136" max="7136" width="17" style="406" customWidth="1"/>
    <col min="7137" max="7137" width="16.5703125" style="406" customWidth="1"/>
    <col min="7138" max="7138" width="3.85546875" style="406" customWidth="1"/>
    <col min="7139" max="7141" width="16.5703125" style="406" customWidth="1"/>
    <col min="7142" max="7142" width="4.140625" style="406" customWidth="1"/>
    <col min="7143" max="7143" width="14" style="406" customWidth="1"/>
    <col min="7144" max="7144" width="15.85546875" style="406" customWidth="1"/>
    <col min="7145" max="7145" width="15.140625" style="406" customWidth="1"/>
    <col min="7146" max="7146" width="2.5703125" style="406" customWidth="1"/>
    <col min="7147" max="7147" width="14" style="406" bestFit="1" customWidth="1"/>
    <col min="7148" max="7148" width="15.85546875" style="406" bestFit="1" customWidth="1"/>
    <col min="7149" max="7149" width="16.85546875" style="406" customWidth="1"/>
    <col min="7150" max="7386" width="12.5703125" style="406"/>
    <col min="7387" max="7387" width="4.5703125" style="406" customWidth="1"/>
    <col min="7388" max="7388" width="56.140625" style="406" customWidth="1"/>
    <col min="7389" max="7389" width="14.5703125" style="406" customWidth="1"/>
    <col min="7390" max="7390" width="14.5703125" style="406" bestFit="1" customWidth="1"/>
    <col min="7391" max="7391" width="14.42578125" style="406" customWidth="1"/>
    <col min="7392" max="7392" width="17" style="406" customWidth="1"/>
    <col min="7393" max="7393" width="16.5703125" style="406" customWidth="1"/>
    <col min="7394" max="7394" width="3.85546875" style="406" customWidth="1"/>
    <col min="7395" max="7397" width="16.5703125" style="406" customWidth="1"/>
    <col min="7398" max="7398" width="4.140625" style="406" customWidth="1"/>
    <col min="7399" max="7399" width="14" style="406" customWidth="1"/>
    <col min="7400" max="7400" width="15.85546875" style="406" customWidth="1"/>
    <col min="7401" max="7401" width="15.140625" style="406" customWidth="1"/>
    <col min="7402" max="7402" width="2.5703125" style="406" customWidth="1"/>
    <col min="7403" max="7403" width="14" style="406" bestFit="1" customWidth="1"/>
    <col min="7404" max="7404" width="15.85546875" style="406" bestFit="1" customWidth="1"/>
    <col min="7405" max="7405" width="16.85546875" style="406" customWidth="1"/>
    <col min="7406" max="7642" width="12.5703125" style="406"/>
    <col min="7643" max="7643" width="4.5703125" style="406" customWidth="1"/>
    <col min="7644" max="7644" width="56.140625" style="406" customWidth="1"/>
    <col min="7645" max="7645" width="14.5703125" style="406" customWidth="1"/>
    <col min="7646" max="7646" width="14.5703125" style="406" bestFit="1" customWidth="1"/>
    <col min="7647" max="7647" width="14.42578125" style="406" customWidth="1"/>
    <col min="7648" max="7648" width="17" style="406" customWidth="1"/>
    <col min="7649" max="7649" width="16.5703125" style="406" customWidth="1"/>
    <col min="7650" max="7650" width="3.85546875" style="406" customWidth="1"/>
    <col min="7651" max="7653" width="16.5703125" style="406" customWidth="1"/>
    <col min="7654" max="7654" width="4.140625" style="406" customWidth="1"/>
    <col min="7655" max="7655" width="14" style="406" customWidth="1"/>
    <col min="7656" max="7656" width="15.85546875" style="406" customWidth="1"/>
    <col min="7657" max="7657" width="15.140625" style="406" customWidth="1"/>
    <col min="7658" max="7658" width="2.5703125" style="406" customWidth="1"/>
    <col min="7659" max="7659" width="14" style="406" bestFit="1" customWidth="1"/>
    <col min="7660" max="7660" width="15.85546875" style="406" bestFit="1" customWidth="1"/>
    <col min="7661" max="7661" width="16.85546875" style="406" customWidth="1"/>
    <col min="7662" max="7898" width="12.5703125" style="406"/>
    <col min="7899" max="7899" width="4.5703125" style="406" customWidth="1"/>
    <col min="7900" max="7900" width="56.140625" style="406" customWidth="1"/>
    <col min="7901" max="7901" width="14.5703125" style="406" customWidth="1"/>
    <col min="7902" max="7902" width="14.5703125" style="406" bestFit="1" customWidth="1"/>
    <col min="7903" max="7903" width="14.42578125" style="406" customWidth="1"/>
    <col min="7904" max="7904" width="17" style="406" customWidth="1"/>
    <col min="7905" max="7905" width="16.5703125" style="406" customWidth="1"/>
    <col min="7906" max="7906" width="3.85546875" style="406" customWidth="1"/>
    <col min="7907" max="7909" width="16.5703125" style="406" customWidth="1"/>
    <col min="7910" max="7910" width="4.140625" style="406" customWidth="1"/>
    <col min="7911" max="7911" width="14" style="406" customWidth="1"/>
    <col min="7912" max="7912" width="15.85546875" style="406" customWidth="1"/>
    <col min="7913" max="7913" width="15.140625" style="406" customWidth="1"/>
    <col min="7914" max="7914" width="2.5703125" style="406" customWidth="1"/>
    <col min="7915" max="7915" width="14" style="406" bestFit="1" customWidth="1"/>
    <col min="7916" max="7916" width="15.85546875" style="406" bestFit="1" customWidth="1"/>
    <col min="7917" max="7917" width="16.85546875" style="406" customWidth="1"/>
    <col min="7918" max="8154" width="12.5703125" style="406"/>
    <col min="8155" max="8155" width="4.5703125" style="406" customWidth="1"/>
    <col min="8156" max="8156" width="56.140625" style="406" customWidth="1"/>
    <col min="8157" max="8157" width="14.5703125" style="406" customWidth="1"/>
    <col min="8158" max="8158" width="14.5703125" style="406" bestFit="1" customWidth="1"/>
    <col min="8159" max="8159" width="14.42578125" style="406" customWidth="1"/>
    <col min="8160" max="8160" width="17" style="406" customWidth="1"/>
    <col min="8161" max="8161" width="16.5703125" style="406" customWidth="1"/>
    <col min="8162" max="8162" width="3.85546875" style="406" customWidth="1"/>
    <col min="8163" max="8165" width="16.5703125" style="406" customWidth="1"/>
    <col min="8166" max="8166" width="4.140625" style="406" customWidth="1"/>
    <col min="8167" max="8167" width="14" style="406" customWidth="1"/>
    <col min="8168" max="8168" width="15.85546875" style="406" customWidth="1"/>
    <col min="8169" max="8169" width="15.140625" style="406" customWidth="1"/>
    <col min="8170" max="8170" width="2.5703125" style="406" customWidth="1"/>
    <col min="8171" max="8171" width="14" style="406" bestFit="1" customWidth="1"/>
    <col min="8172" max="8172" width="15.85546875" style="406" bestFit="1" customWidth="1"/>
    <col min="8173" max="8173" width="16.85546875" style="406" customWidth="1"/>
    <col min="8174" max="8410" width="12.5703125" style="406"/>
    <col min="8411" max="8411" width="4.5703125" style="406" customWidth="1"/>
    <col min="8412" max="8412" width="56.140625" style="406" customWidth="1"/>
    <col min="8413" max="8413" width="14.5703125" style="406" customWidth="1"/>
    <col min="8414" max="8414" width="14.5703125" style="406" bestFit="1" customWidth="1"/>
    <col min="8415" max="8415" width="14.42578125" style="406" customWidth="1"/>
    <col min="8416" max="8416" width="17" style="406" customWidth="1"/>
    <col min="8417" max="8417" width="16.5703125" style="406" customWidth="1"/>
    <col min="8418" max="8418" width="3.85546875" style="406" customWidth="1"/>
    <col min="8419" max="8421" width="16.5703125" style="406" customWidth="1"/>
    <col min="8422" max="8422" width="4.140625" style="406" customWidth="1"/>
    <col min="8423" max="8423" width="14" style="406" customWidth="1"/>
    <col min="8424" max="8424" width="15.85546875" style="406" customWidth="1"/>
    <col min="8425" max="8425" width="15.140625" style="406" customWidth="1"/>
    <col min="8426" max="8426" width="2.5703125" style="406" customWidth="1"/>
    <col min="8427" max="8427" width="14" style="406" bestFit="1" customWidth="1"/>
    <col min="8428" max="8428" width="15.85546875" style="406" bestFit="1" customWidth="1"/>
    <col min="8429" max="8429" width="16.85546875" style="406" customWidth="1"/>
    <col min="8430" max="8666" width="12.5703125" style="406"/>
    <col min="8667" max="8667" width="4.5703125" style="406" customWidth="1"/>
    <col min="8668" max="8668" width="56.140625" style="406" customWidth="1"/>
    <col min="8669" max="8669" width="14.5703125" style="406" customWidth="1"/>
    <col min="8670" max="8670" width="14.5703125" style="406" bestFit="1" customWidth="1"/>
    <col min="8671" max="8671" width="14.42578125" style="406" customWidth="1"/>
    <col min="8672" max="8672" width="17" style="406" customWidth="1"/>
    <col min="8673" max="8673" width="16.5703125" style="406" customWidth="1"/>
    <col min="8674" max="8674" width="3.85546875" style="406" customWidth="1"/>
    <col min="8675" max="8677" width="16.5703125" style="406" customWidth="1"/>
    <col min="8678" max="8678" width="4.140625" style="406" customWidth="1"/>
    <col min="8679" max="8679" width="14" style="406" customWidth="1"/>
    <col min="8680" max="8680" width="15.85546875" style="406" customWidth="1"/>
    <col min="8681" max="8681" width="15.140625" style="406" customWidth="1"/>
    <col min="8682" max="8682" width="2.5703125" style="406" customWidth="1"/>
    <col min="8683" max="8683" width="14" style="406" bestFit="1" customWidth="1"/>
    <col min="8684" max="8684" width="15.85546875" style="406" bestFit="1" customWidth="1"/>
    <col min="8685" max="8685" width="16.85546875" style="406" customWidth="1"/>
    <col min="8686" max="8922" width="12.5703125" style="406"/>
    <col min="8923" max="8923" width="4.5703125" style="406" customWidth="1"/>
    <col min="8924" max="8924" width="56.140625" style="406" customWidth="1"/>
    <col min="8925" max="8925" width="14.5703125" style="406" customWidth="1"/>
    <col min="8926" max="8926" width="14.5703125" style="406" bestFit="1" customWidth="1"/>
    <col min="8927" max="8927" width="14.42578125" style="406" customWidth="1"/>
    <col min="8928" max="8928" width="17" style="406" customWidth="1"/>
    <col min="8929" max="8929" width="16.5703125" style="406" customWidth="1"/>
    <col min="8930" max="8930" width="3.85546875" style="406" customWidth="1"/>
    <col min="8931" max="8933" width="16.5703125" style="406" customWidth="1"/>
    <col min="8934" max="8934" width="4.140625" style="406" customWidth="1"/>
    <col min="8935" max="8935" width="14" style="406" customWidth="1"/>
    <col min="8936" max="8936" width="15.85546875" style="406" customWidth="1"/>
    <col min="8937" max="8937" width="15.140625" style="406" customWidth="1"/>
    <col min="8938" max="8938" width="2.5703125" style="406" customWidth="1"/>
    <col min="8939" max="8939" width="14" style="406" bestFit="1" customWidth="1"/>
    <col min="8940" max="8940" width="15.85546875" style="406" bestFit="1" customWidth="1"/>
    <col min="8941" max="8941" width="16.85546875" style="406" customWidth="1"/>
    <col min="8942" max="9178" width="12.5703125" style="406"/>
    <col min="9179" max="9179" width="4.5703125" style="406" customWidth="1"/>
    <col min="9180" max="9180" width="56.140625" style="406" customWidth="1"/>
    <col min="9181" max="9181" width="14.5703125" style="406" customWidth="1"/>
    <col min="9182" max="9182" width="14.5703125" style="406" bestFit="1" customWidth="1"/>
    <col min="9183" max="9183" width="14.42578125" style="406" customWidth="1"/>
    <col min="9184" max="9184" width="17" style="406" customWidth="1"/>
    <col min="9185" max="9185" width="16.5703125" style="406" customWidth="1"/>
    <col min="9186" max="9186" width="3.85546875" style="406" customWidth="1"/>
    <col min="9187" max="9189" width="16.5703125" style="406" customWidth="1"/>
    <col min="9190" max="9190" width="4.140625" style="406" customWidth="1"/>
    <col min="9191" max="9191" width="14" style="406" customWidth="1"/>
    <col min="9192" max="9192" width="15.85546875" style="406" customWidth="1"/>
    <col min="9193" max="9193" width="15.140625" style="406" customWidth="1"/>
    <col min="9194" max="9194" width="2.5703125" style="406" customWidth="1"/>
    <col min="9195" max="9195" width="14" style="406" bestFit="1" customWidth="1"/>
    <col min="9196" max="9196" width="15.85546875" style="406" bestFit="1" customWidth="1"/>
    <col min="9197" max="9197" width="16.85546875" style="406" customWidth="1"/>
    <col min="9198" max="9434" width="12.5703125" style="406"/>
    <col min="9435" max="9435" width="4.5703125" style="406" customWidth="1"/>
    <col min="9436" max="9436" width="56.140625" style="406" customWidth="1"/>
    <col min="9437" max="9437" width="14.5703125" style="406" customWidth="1"/>
    <col min="9438" max="9438" width="14.5703125" style="406" bestFit="1" customWidth="1"/>
    <col min="9439" max="9439" width="14.42578125" style="406" customWidth="1"/>
    <col min="9440" max="9440" width="17" style="406" customWidth="1"/>
    <col min="9441" max="9441" width="16.5703125" style="406" customWidth="1"/>
    <col min="9442" max="9442" width="3.85546875" style="406" customWidth="1"/>
    <col min="9443" max="9445" width="16.5703125" style="406" customWidth="1"/>
    <col min="9446" max="9446" width="4.140625" style="406" customWidth="1"/>
    <col min="9447" max="9447" width="14" style="406" customWidth="1"/>
    <col min="9448" max="9448" width="15.85546875" style="406" customWidth="1"/>
    <col min="9449" max="9449" width="15.140625" style="406" customWidth="1"/>
    <col min="9450" max="9450" width="2.5703125" style="406" customWidth="1"/>
    <col min="9451" max="9451" width="14" style="406" bestFit="1" customWidth="1"/>
    <col min="9452" max="9452" width="15.85546875" style="406" bestFit="1" customWidth="1"/>
    <col min="9453" max="9453" width="16.85546875" style="406" customWidth="1"/>
    <col min="9454" max="9690" width="12.5703125" style="406"/>
    <col min="9691" max="9691" width="4.5703125" style="406" customWidth="1"/>
    <col min="9692" max="9692" width="56.140625" style="406" customWidth="1"/>
    <col min="9693" max="9693" width="14.5703125" style="406" customWidth="1"/>
    <col min="9694" max="9694" width="14.5703125" style="406" bestFit="1" customWidth="1"/>
    <col min="9695" max="9695" width="14.42578125" style="406" customWidth="1"/>
    <col min="9696" max="9696" width="17" style="406" customWidth="1"/>
    <col min="9697" max="9697" width="16.5703125" style="406" customWidth="1"/>
    <col min="9698" max="9698" width="3.85546875" style="406" customWidth="1"/>
    <col min="9699" max="9701" width="16.5703125" style="406" customWidth="1"/>
    <col min="9702" max="9702" width="4.140625" style="406" customWidth="1"/>
    <col min="9703" max="9703" width="14" style="406" customWidth="1"/>
    <col min="9704" max="9704" width="15.85546875" style="406" customWidth="1"/>
    <col min="9705" max="9705" width="15.140625" style="406" customWidth="1"/>
    <col min="9706" max="9706" width="2.5703125" style="406" customWidth="1"/>
    <col min="9707" max="9707" width="14" style="406" bestFit="1" customWidth="1"/>
    <col min="9708" max="9708" width="15.85546875" style="406" bestFit="1" customWidth="1"/>
    <col min="9709" max="9709" width="16.85546875" style="406" customWidth="1"/>
    <col min="9710" max="9946" width="12.5703125" style="406"/>
    <col min="9947" max="9947" width="4.5703125" style="406" customWidth="1"/>
    <col min="9948" max="9948" width="56.140625" style="406" customWidth="1"/>
    <col min="9949" max="9949" width="14.5703125" style="406" customWidth="1"/>
    <col min="9950" max="9950" width="14.5703125" style="406" bestFit="1" customWidth="1"/>
    <col min="9951" max="9951" width="14.42578125" style="406" customWidth="1"/>
    <col min="9952" max="9952" width="17" style="406" customWidth="1"/>
    <col min="9953" max="9953" width="16.5703125" style="406" customWidth="1"/>
    <col min="9954" max="9954" width="3.85546875" style="406" customWidth="1"/>
    <col min="9955" max="9957" width="16.5703125" style="406" customWidth="1"/>
    <col min="9958" max="9958" width="4.140625" style="406" customWidth="1"/>
    <col min="9959" max="9959" width="14" style="406" customWidth="1"/>
    <col min="9960" max="9960" width="15.85546875" style="406" customWidth="1"/>
    <col min="9961" max="9961" width="15.140625" style="406" customWidth="1"/>
    <col min="9962" max="9962" width="2.5703125" style="406" customWidth="1"/>
    <col min="9963" max="9963" width="14" style="406" bestFit="1" customWidth="1"/>
    <col min="9964" max="9964" width="15.85546875" style="406" bestFit="1" customWidth="1"/>
    <col min="9965" max="9965" width="16.85546875" style="406" customWidth="1"/>
    <col min="9966" max="10202" width="12.5703125" style="406"/>
    <col min="10203" max="10203" width="4.5703125" style="406" customWidth="1"/>
    <col min="10204" max="10204" width="56.140625" style="406" customWidth="1"/>
    <col min="10205" max="10205" width="14.5703125" style="406" customWidth="1"/>
    <col min="10206" max="10206" width="14.5703125" style="406" bestFit="1" customWidth="1"/>
    <col min="10207" max="10207" width="14.42578125" style="406" customWidth="1"/>
    <col min="10208" max="10208" width="17" style="406" customWidth="1"/>
    <col min="10209" max="10209" width="16.5703125" style="406" customWidth="1"/>
    <col min="10210" max="10210" width="3.85546875" style="406" customWidth="1"/>
    <col min="10211" max="10213" width="16.5703125" style="406" customWidth="1"/>
    <col min="10214" max="10214" width="4.140625" style="406" customWidth="1"/>
    <col min="10215" max="10215" width="14" style="406" customWidth="1"/>
    <col min="10216" max="10216" width="15.85546875" style="406" customWidth="1"/>
    <col min="10217" max="10217" width="15.140625" style="406" customWidth="1"/>
    <col min="10218" max="10218" width="2.5703125" style="406" customWidth="1"/>
    <col min="10219" max="10219" width="14" style="406" bestFit="1" customWidth="1"/>
    <col min="10220" max="10220" width="15.85546875" style="406" bestFit="1" customWidth="1"/>
    <col min="10221" max="10221" width="16.85546875" style="406" customWidth="1"/>
    <col min="10222" max="10458" width="12.5703125" style="406"/>
    <col min="10459" max="10459" width="4.5703125" style="406" customWidth="1"/>
    <col min="10460" max="10460" width="56.140625" style="406" customWidth="1"/>
    <col min="10461" max="10461" width="14.5703125" style="406" customWidth="1"/>
    <col min="10462" max="10462" width="14.5703125" style="406" bestFit="1" customWidth="1"/>
    <col min="10463" max="10463" width="14.42578125" style="406" customWidth="1"/>
    <col min="10464" max="10464" width="17" style="406" customWidth="1"/>
    <col min="10465" max="10465" width="16.5703125" style="406" customWidth="1"/>
    <col min="10466" max="10466" width="3.85546875" style="406" customWidth="1"/>
    <col min="10467" max="10469" width="16.5703125" style="406" customWidth="1"/>
    <col min="10470" max="10470" width="4.140625" style="406" customWidth="1"/>
    <col min="10471" max="10471" width="14" style="406" customWidth="1"/>
    <col min="10472" max="10472" width="15.85546875" style="406" customWidth="1"/>
    <col min="10473" max="10473" width="15.140625" style="406" customWidth="1"/>
    <col min="10474" max="10474" width="2.5703125" style="406" customWidth="1"/>
    <col min="10475" max="10475" width="14" style="406" bestFit="1" customWidth="1"/>
    <col min="10476" max="10476" width="15.85546875" style="406" bestFit="1" customWidth="1"/>
    <col min="10477" max="10477" width="16.85546875" style="406" customWidth="1"/>
    <col min="10478" max="10714" width="12.5703125" style="406"/>
    <col min="10715" max="10715" width="4.5703125" style="406" customWidth="1"/>
    <col min="10716" max="10716" width="56.140625" style="406" customWidth="1"/>
    <col min="10717" max="10717" width="14.5703125" style="406" customWidth="1"/>
    <col min="10718" max="10718" width="14.5703125" style="406" bestFit="1" customWidth="1"/>
    <col min="10719" max="10719" width="14.42578125" style="406" customWidth="1"/>
    <col min="10720" max="10720" width="17" style="406" customWidth="1"/>
    <col min="10721" max="10721" width="16.5703125" style="406" customWidth="1"/>
    <col min="10722" max="10722" width="3.85546875" style="406" customWidth="1"/>
    <col min="10723" max="10725" width="16.5703125" style="406" customWidth="1"/>
    <col min="10726" max="10726" width="4.140625" style="406" customWidth="1"/>
    <col min="10727" max="10727" width="14" style="406" customWidth="1"/>
    <col min="10728" max="10728" width="15.85546875" style="406" customWidth="1"/>
    <col min="10729" max="10729" width="15.140625" style="406" customWidth="1"/>
    <col min="10730" max="10730" width="2.5703125" style="406" customWidth="1"/>
    <col min="10731" max="10731" width="14" style="406" bestFit="1" customWidth="1"/>
    <col min="10732" max="10732" width="15.85546875" style="406" bestFit="1" customWidth="1"/>
    <col min="10733" max="10733" width="16.85546875" style="406" customWidth="1"/>
    <col min="10734" max="10970" width="12.5703125" style="406"/>
    <col min="10971" max="10971" width="4.5703125" style="406" customWidth="1"/>
    <col min="10972" max="10972" width="56.140625" style="406" customWidth="1"/>
    <col min="10973" max="10973" width="14.5703125" style="406" customWidth="1"/>
    <col min="10974" max="10974" width="14.5703125" style="406" bestFit="1" customWidth="1"/>
    <col min="10975" max="10975" width="14.42578125" style="406" customWidth="1"/>
    <col min="10976" max="10976" width="17" style="406" customWidth="1"/>
    <col min="10977" max="10977" width="16.5703125" style="406" customWidth="1"/>
    <col min="10978" max="10978" width="3.85546875" style="406" customWidth="1"/>
    <col min="10979" max="10981" width="16.5703125" style="406" customWidth="1"/>
    <col min="10982" max="10982" width="4.140625" style="406" customWidth="1"/>
    <col min="10983" max="10983" width="14" style="406" customWidth="1"/>
    <col min="10984" max="10984" width="15.85546875" style="406" customWidth="1"/>
    <col min="10985" max="10985" width="15.140625" style="406" customWidth="1"/>
    <col min="10986" max="10986" width="2.5703125" style="406" customWidth="1"/>
    <col min="10987" max="10987" width="14" style="406" bestFit="1" customWidth="1"/>
    <col min="10988" max="10988" width="15.85546875" style="406" bestFit="1" customWidth="1"/>
    <col min="10989" max="10989" width="16.85546875" style="406" customWidth="1"/>
    <col min="10990" max="11226" width="12.5703125" style="406"/>
    <col min="11227" max="11227" width="4.5703125" style="406" customWidth="1"/>
    <col min="11228" max="11228" width="56.140625" style="406" customWidth="1"/>
    <col min="11229" max="11229" width="14.5703125" style="406" customWidth="1"/>
    <col min="11230" max="11230" width="14.5703125" style="406" bestFit="1" customWidth="1"/>
    <col min="11231" max="11231" width="14.42578125" style="406" customWidth="1"/>
    <col min="11232" max="11232" width="17" style="406" customWidth="1"/>
    <col min="11233" max="11233" width="16.5703125" style="406" customWidth="1"/>
    <col min="11234" max="11234" width="3.85546875" style="406" customWidth="1"/>
    <col min="11235" max="11237" width="16.5703125" style="406" customWidth="1"/>
    <col min="11238" max="11238" width="4.140625" style="406" customWidth="1"/>
    <col min="11239" max="11239" width="14" style="406" customWidth="1"/>
    <col min="11240" max="11240" width="15.85546875" style="406" customWidth="1"/>
    <col min="11241" max="11241" width="15.140625" style="406" customWidth="1"/>
    <col min="11242" max="11242" width="2.5703125" style="406" customWidth="1"/>
    <col min="11243" max="11243" width="14" style="406" bestFit="1" customWidth="1"/>
    <col min="11244" max="11244" width="15.85546875" style="406" bestFit="1" customWidth="1"/>
    <col min="11245" max="11245" width="16.85546875" style="406" customWidth="1"/>
    <col min="11246" max="11482" width="12.5703125" style="406"/>
    <col min="11483" max="11483" width="4.5703125" style="406" customWidth="1"/>
    <col min="11484" max="11484" width="56.140625" style="406" customWidth="1"/>
    <col min="11485" max="11485" width="14.5703125" style="406" customWidth="1"/>
    <col min="11486" max="11486" width="14.5703125" style="406" bestFit="1" customWidth="1"/>
    <col min="11487" max="11487" width="14.42578125" style="406" customWidth="1"/>
    <col min="11488" max="11488" width="17" style="406" customWidth="1"/>
    <col min="11489" max="11489" width="16.5703125" style="406" customWidth="1"/>
    <col min="11490" max="11490" width="3.85546875" style="406" customWidth="1"/>
    <col min="11491" max="11493" width="16.5703125" style="406" customWidth="1"/>
    <col min="11494" max="11494" width="4.140625" style="406" customWidth="1"/>
    <col min="11495" max="11495" width="14" style="406" customWidth="1"/>
    <col min="11496" max="11496" width="15.85546875" style="406" customWidth="1"/>
    <col min="11497" max="11497" width="15.140625" style="406" customWidth="1"/>
    <col min="11498" max="11498" width="2.5703125" style="406" customWidth="1"/>
    <col min="11499" max="11499" width="14" style="406" bestFit="1" customWidth="1"/>
    <col min="11500" max="11500" width="15.85546875" style="406" bestFit="1" customWidth="1"/>
    <col min="11501" max="11501" width="16.85546875" style="406" customWidth="1"/>
    <col min="11502" max="11738" width="12.5703125" style="406"/>
    <col min="11739" max="11739" width="4.5703125" style="406" customWidth="1"/>
    <col min="11740" max="11740" width="56.140625" style="406" customWidth="1"/>
    <col min="11741" max="11741" width="14.5703125" style="406" customWidth="1"/>
    <col min="11742" max="11742" width="14.5703125" style="406" bestFit="1" customWidth="1"/>
    <col min="11743" max="11743" width="14.42578125" style="406" customWidth="1"/>
    <col min="11744" max="11744" width="17" style="406" customWidth="1"/>
    <col min="11745" max="11745" width="16.5703125" style="406" customWidth="1"/>
    <col min="11746" max="11746" width="3.85546875" style="406" customWidth="1"/>
    <col min="11747" max="11749" width="16.5703125" style="406" customWidth="1"/>
    <col min="11750" max="11750" width="4.140625" style="406" customWidth="1"/>
    <col min="11751" max="11751" width="14" style="406" customWidth="1"/>
    <col min="11752" max="11752" width="15.85546875" style="406" customWidth="1"/>
    <col min="11753" max="11753" width="15.140625" style="406" customWidth="1"/>
    <col min="11754" max="11754" width="2.5703125" style="406" customWidth="1"/>
    <col min="11755" max="11755" width="14" style="406" bestFit="1" customWidth="1"/>
    <col min="11756" max="11756" width="15.85546875" style="406" bestFit="1" customWidth="1"/>
    <col min="11757" max="11757" width="16.85546875" style="406" customWidth="1"/>
    <col min="11758" max="11994" width="12.5703125" style="406"/>
    <col min="11995" max="11995" width="4.5703125" style="406" customWidth="1"/>
    <col min="11996" max="11996" width="56.140625" style="406" customWidth="1"/>
    <col min="11997" max="11997" width="14.5703125" style="406" customWidth="1"/>
    <col min="11998" max="11998" width="14.5703125" style="406" bestFit="1" customWidth="1"/>
    <col min="11999" max="11999" width="14.42578125" style="406" customWidth="1"/>
    <col min="12000" max="12000" width="17" style="406" customWidth="1"/>
    <col min="12001" max="12001" width="16.5703125" style="406" customWidth="1"/>
    <col min="12002" max="12002" width="3.85546875" style="406" customWidth="1"/>
    <col min="12003" max="12005" width="16.5703125" style="406" customWidth="1"/>
    <col min="12006" max="12006" width="4.140625" style="406" customWidth="1"/>
    <col min="12007" max="12007" width="14" style="406" customWidth="1"/>
    <col min="12008" max="12008" width="15.85546875" style="406" customWidth="1"/>
    <col min="12009" max="12009" width="15.140625" style="406" customWidth="1"/>
    <col min="12010" max="12010" width="2.5703125" style="406" customWidth="1"/>
    <col min="12011" max="12011" width="14" style="406" bestFit="1" customWidth="1"/>
    <col min="12012" max="12012" width="15.85546875" style="406" bestFit="1" customWidth="1"/>
    <col min="12013" max="12013" width="16.85546875" style="406" customWidth="1"/>
    <col min="12014" max="12250" width="12.5703125" style="406"/>
    <col min="12251" max="12251" width="4.5703125" style="406" customWidth="1"/>
    <col min="12252" max="12252" width="56.140625" style="406" customWidth="1"/>
    <col min="12253" max="12253" width="14.5703125" style="406" customWidth="1"/>
    <col min="12254" max="12254" width="14.5703125" style="406" bestFit="1" customWidth="1"/>
    <col min="12255" max="12255" width="14.42578125" style="406" customWidth="1"/>
    <col min="12256" max="12256" width="17" style="406" customWidth="1"/>
    <col min="12257" max="12257" width="16.5703125" style="406" customWidth="1"/>
    <col min="12258" max="12258" width="3.85546875" style="406" customWidth="1"/>
    <col min="12259" max="12261" width="16.5703125" style="406" customWidth="1"/>
    <col min="12262" max="12262" width="4.140625" style="406" customWidth="1"/>
    <col min="12263" max="12263" width="14" style="406" customWidth="1"/>
    <col min="12264" max="12264" width="15.85546875" style="406" customWidth="1"/>
    <col min="12265" max="12265" width="15.140625" style="406" customWidth="1"/>
    <col min="12266" max="12266" width="2.5703125" style="406" customWidth="1"/>
    <col min="12267" max="12267" width="14" style="406" bestFit="1" customWidth="1"/>
    <col min="12268" max="12268" width="15.85546875" style="406" bestFit="1" customWidth="1"/>
    <col min="12269" max="12269" width="16.85546875" style="406" customWidth="1"/>
    <col min="12270" max="12506" width="12.5703125" style="406"/>
    <col min="12507" max="12507" width="4.5703125" style="406" customWidth="1"/>
    <col min="12508" max="12508" width="56.140625" style="406" customWidth="1"/>
    <col min="12509" max="12509" width="14.5703125" style="406" customWidth="1"/>
    <col min="12510" max="12510" width="14.5703125" style="406" bestFit="1" customWidth="1"/>
    <col min="12511" max="12511" width="14.42578125" style="406" customWidth="1"/>
    <col min="12512" max="12512" width="17" style="406" customWidth="1"/>
    <col min="12513" max="12513" width="16.5703125" style="406" customWidth="1"/>
    <col min="12514" max="12514" width="3.85546875" style="406" customWidth="1"/>
    <col min="12515" max="12517" width="16.5703125" style="406" customWidth="1"/>
    <col min="12518" max="12518" width="4.140625" style="406" customWidth="1"/>
    <col min="12519" max="12519" width="14" style="406" customWidth="1"/>
    <col min="12520" max="12520" width="15.85546875" style="406" customWidth="1"/>
    <col min="12521" max="12521" width="15.140625" style="406" customWidth="1"/>
    <col min="12522" max="12522" width="2.5703125" style="406" customWidth="1"/>
    <col min="12523" max="12523" width="14" style="406" bestFit="1" customWidth="1"/>
    <col min="12524" max="12524" width="15.85546875" style="406" bestFit="1" customWidth="1"/>
    <col min="12525" max="12525" width="16.85546875" style="406" customWidth="1"/>
    <col min="12526" max="12762" width="12.5703125" style="406"/>
    <col min="12763" max="12763" width="4.5703125" style="406" customWidth="1"/>
    <col min="12764" max="12764" width="56.140625" style="406" customWidth="1"/>
    <col min="12765" max="12765" width="14.5703125" style="406" customWidth="1"/>
    <col min="12766" max="12766" width="14.5703125" style="406" bestFit="1" customWidth="1"/>
    <col min="12767" max="12767" width="14.42578125" style="406" customWidth="1"/>
    <col min="12768" max="12768" width="17" style="406" customWidth="1"/>
    <col min="12769" max="12769" width="16.5703125" style="406" customWidth="1"/>
    <col min="12770" max="12770" width="3.85546875" style="406" customWidth="1"/>
    <col min="12771" max="12773" width="16.5703125" style="406" customWidth="1"/>
    <col min="12774" max="12774" width="4.140625" style="406" customWidth="1"/>
    <col min="12775" max="12775" width="14" style="406" customWidth="1"/>
    <col min="12776" max="12776" width="15.85546875" style="406" customWidth="1"/>
    <col min="12777" max="12777" width="15.140625" style="406" customWidth="1"/>
    <col min="12778" max="12778" width="2.5703125" style="406" customWidth="1"/>
    <col min="12779" max="12779" width="14" style="406" bestFit="1" customWidth="1"/>
    <col min="12780" max="12780" width="15.85546875" style="406" bestFit="1" customWidth="1"/>
    <col min="12781" max="12781" width="16.85546875" style="406" customWidth="1"/>
    <col min="12782" max="13018" width="12.5703125" style="406"/>
    <col min="13019" max="13019" width="4.5703125" style="406" customWidth="1"/>
    <col min="13020" max="13020" width="56.140625" style="406" customWidth="1"/>
    <col min="13021" max="13021" width="14.5703125" style="406" customWidth="1"/>
    <col min="13022" max="13022" width="14.5703125" style="406" bestFit="1" customWidth="1"/>
    <col min="13023" max="13023" width="14.42578125" style="406" customWidth="1"/>
    <col min="13024" max="13024" width="17" style="406" customWidth="1"/>
    <col min="13025" max="13025" width="16.5703125" style="406" customWidth="1"/>
    <col min="13026" max="13026" width="3.85546875" style="406" customWidth="1"/>
    <col min="13027" max="13029" width="16.5703125" style="406" customWidth="1"/>
    <col min="13030" max="13030" width="4.140625" style="406" customWidth="1"/>
    <col min="13031" max="13031" width="14" style="406" customWidth="1"/>
    <col min="13032" max="13032" width="15.85546875" style="406" customWidth="1"/>
    <col min="13033" max="13033" width="15.140625" style="406" customWidth="1"/>
    <col min="13034" max="13034" width="2.5703125" style="406" customWidth="1"/>
    <col min="13035" max="13035" width="14" style="406" bestFit="1" customWidth="1"/>
    <col min="13036" max="13036" width="15.85546875" style="406" bestFit="1" customWidth="1"/>
    <col min="13037" max="13037" width="16.85546875" style="406" customWidth="1"/>
    <col min="13038" max="13274" width="12.5703125" style="406"/>
    <col min="13275" max="13275" width="4.5703125" style="406" customWidth="1"/>
    <col min="13276" max="13276" width="56.140625" style="406" customWidth="1"/>
    <col min="13277" max="13277" width="14.5703125" style="406" customWidth="1"/>
    <col min="13278" max="13278" width="14.5703125" style="406" bestFit="1" customWidth="1"/>
    <col min="13279" max="13279" width="14.42578125" style="406" customWidth="1"/>
    <col min="13280" max="13280" width="17" style="406" customWidth="1"/>
    <col min="13281" max="13281" width="16.5703125" style="406" customWidth="1"/>
    <col min="13282" max="13282" width="3.85546875" style="406" customWidth="1"/>
    <col min="13283" max="13285" width="16.5703125" style="406" customWidth="1"/>
    <col min="13286" max="13286" width="4.140625" style="406" customWidth="1"/>
    <col min="13287" max="13287" width="14" style="406" customWidth="1"/>
    <col min="13288" max="13288" width="15.85546875" style="406" customWidth="1"/>
    <col min="13289" max="13289" width="15.140625" style="406" customWidth="1"/>
    <col min="13290" max="13290" width="2.5703125" style="406" customWidth="1"/>
    <col min="13291" max="13291" width="14" style="406" bestFit="1" customWidth="1"/>
    <col min="13292" max="13292" width="15.85546875" style="406" bestFit="1" customWidth="1"/>
    <col min="13293" max="13293" width="16.85546875" style="406" customWidth="1"/>
    <col min="13294" max="13530" width="12.5703125" style="406"/>
    <col min="13531" max="13531" width="4.5703125" style="406" customWidth="1"/>
    <col min="13532" max="13532" width="56.140625" style="406" customWidth="1"/>
    <col min="13533" max="13533" width="14.5703125" style="406" customWidth="1"/>
    <col min="13534" max="13534" width="14.5703125" style="406" bestFit="1" customWidth="1"/>
    <col min="13535" max="13535" width="14.42578125" style="406" customWidth="1"/>
    <col min="13536" max="13536" width="17" style="406" customWidth="1"/>
    <col min="13537" max="13537" width="16.5703125" style="406" customWidth="1"/>
    <col min="13538" max="13538" width="3.85546875" style="406" customWidth="1"/>
    <col min="13539" max="13541" width="16.5703125" style="406" customWidth="1"/>
    <col min="13542" max="13542" width="4.140625" style="406" customWidth="1"/>
    <col min="13543" max="13543" width="14" style="406" customWidth="1"/>
    <col min="13544" max="13544" width="15.85546875" style="406" customWidth="1"/>
    <col min="13545" max="13545" width="15.140625" style="406" customWidth="1"/>
    <col min="13546" max="13546" width="2.5703125" style="406" customWidth="1"/>
    <col min="13547" max="13547" width="14" style="406" bestFit="1" customWidth="1"/>
    <col min="13548" max="13548" width="15.85546875" style="406" bestFit="1" customWidth="1"/>
    <col min="13549" max="13549" width="16.85546875" style="406" customWidth="1"/>
    <col min="13550" max="13786" width="12.5703125" style="406"/>
    <col min="13787" max="13787" width="4.5703125" style="406" customWidth="1"/>
    <col min="13788" max="13788" width="56.140625" style="406" customWidth="1"/>
    <col min="13789" max="13789" width="14.5703125" style="406" customWidth="1"/>
    <col min="13790" max="13790" width="14.5703125" style="406" bestFit="1" customWidth="1"/>
    <col min="13791" max="13791" width="14.42578125" style="406" customWidth="1"/>
    <col min="13792" max="13792" width="17" style="406" customWidth="1"/>
    <col min="13793" max="13793" width="16.5703125" style="406" customWidth="1"/>
    <col min="13794" max="13794" width="3.85546875" style="406" customWidth="1"/>
    <col min="13795" max="13797" width="16.5703125" style="406" customWidth="1"/>
    <col min="13798" max="13798" width="4.140625" style="406" customWidth="1"/>
    <col min="13799" max="13799" width="14" style="406" customWidth="1"/>
    <col min="13800" max="13800" width="15.85546875" style="406" customWidth="1"/>
    <col min="13801" max="13801" width="15.140625" style="406" customWidth="1"/>
    <col min="13802" max="13802" width="2.5703125" style="406" customWidth="1"/>
    <col min="13803" max="13803" width="14" style="406" bestFit="1" customWidth="1"/>
    <col min="13804" max="13804" width="15.85546875" style="406" bestFit="1" customWidth="1"/>
    <col min="13805" max="13805" width="16.85546875" style="406" customWidth="1"/>
    <col min="13806" max="14042" width="12.5703125" style="406"/>
    <col min="14043" max="14043" width="4.5703125" style="406" customWidth="1"/>
    <col min="14044" max="14044" width="56.140625" style="406" customWidth="1"/>
    <col min="14045" max="14045" width="14.5703125" style="406" customWidth="1"/>
    <col min="14046" max="14046" width="14.5703125" style="406" bestFit="1" customWidth="1"/>
    <col min="14047" max="14047" width="14.42578125" style="406" customWidth="1"/>
    <col min="14048" max="14048" width="17" style="406" customWidth="1"/>
    <col min="14049" max="14049" width="16.5703125" style="406" customWidth="1"/>
    <col min="14050" max="14050" width="3.85546875" style="406" customWidth="1"/>
    <col min="14051" max="14053" width="16.5703125" style="406" customWidth="1"/>
    <col min="14054" max="14054" width="4.140625" style="406" customWidth="1"/>
    <col min="14055" max="14055" width="14" style="406" customWidth="1"/>
    <col min="14056" max="14056" width="15.85546875" style="406" customWidth="1"/>
    <col min="14057" max="14057" width="15.140625" style="406" customWidth="1"/>
    <col min="14058" max="14058" width="2.5703125" style="406" customWidth="1"/>
    <col min="14059" max="14059" width="14" style="406" bestFit="1" customWidth="1"/>
    <col min="14060" max="14060" width="15.85546875" style="406" bestFit="1" customWidth="1"/>
    <col min="14061" max="14061" width="16.85546875" style="406" customWidth="1"/>
    <col min="14062" max="14298" width="12.5703125" style="406"/>
    <col min="14299" max="14299" width="4.5703125" style="406" customWidth="1"/>
    <col min="14300" max="14300" width="56.140625" style="406" customWidth="1"/>
    <col min="14301" max="14301" width="14.5703125" style="406" customWidth="1"/>
    <col min="14302" max="14302" width="14.5703125" style="406" bestFit="1" customWidth="1"/>
    <col min="14303" max="14303" width="14.42578125" style="406" customWidth="1"/>
    <col min="14304" max="14304" width="17" style="406" customWidth="1"/>
    <col min="14305" max="14305" width="16.5703125" style="406" customWidth="1"/>
    <col min="14306" max="14306" width="3.85546875" style="406" customWidth="1"/>
    <col min="14307" max="14309" width="16.5703125" style="406" customWidth="1"/>
    <col min="14310" max="14310" width="4.140625" style="406" customWidth="1"/>
    <col min="14311" max="14311" width="14" style="406" customWidth="1"/>
    <col min="14312" max="14312" width="15.85546875" style="406" customWidth="1"/>
    <col min="14313" max="14313" width="15.140625" style="406" customWidth="1"/>
    <col min="14314" max="14314" width="2.5703125" style="406" customWidth="1"/>
    <col min="14315" max="14315" width="14" style="406" bestFit="1" customWidth="1"/>
    <col min="14316" max="14316" width="15.85546875" style="406" bestFit="1" customWidth="1"/>
    <col min="14317" max="14317" width="16.85546875" style="406" customWidth="1"/>
    <col min="14318" max="14554" width="12.5703125" style="406"/>
    <col min="14555" max="14555" width="4.5703125" style="406" customWidth="1"/>
    <col min="14556" max="14556" width="56.140625" style="406" customWidth="1"/>
    <col min="14557" max="14557" width="14.5703125" style="406" customWidth="1"/>
    <col min="14558" max="14558" width="14.5703125" style="406" bestFit="1" customWidth="1"/>
    <col min="14559" max="14559" width="14.42578125" style="406" customWidth="1"/>
    <col min="14560" max="14560" width="17" style="406" customWidth="1"/>
    <col min="14561" max="14561" width="16.5703125" style="406" customWidth="1"/>
    <col min="14562" max="14562" width="3.85546875" style="406" customWidth="1"/>
    <col min="14563" max="14565" width="16.5703125" style="406" customWidth="1"/>
    <col min="14566" max="14566" width="4.140625" style="406" customWidth="1"/>
    <col min="14567" max="14567" width="14" style="406" customWidth="1"/>
    <col min="14568" max="14568" width="15.85546875" style="406" customWidth="1"/>
    <col min="14569" max="14569" width="15.140625" style="406" customWidth="1"/>
    <col min="14570" max="14570" width="2.5703125" style="406" customWidth="1"/>
    <col min="14571" max="14571" width="14" style="406" bestFit="1" customWidth="1"/>
    <col min="14572" max="14572" width="15.85546875" style="406" bestFit="1" customWidth="1"/>
    <col min="14573" max="14573" width="16.85546875" style="406" customWidth="1"/>
    <col min="14574" max="14810" width="12.5703125" style="406"/>
    <col min="14811" max="14811" width="4.5703125" style="406" customWidth="1"/>
    <col min="14812" max="14812" width="56.140625" style="406" customWidth="1"/>
    <col min="14813" max="14813" width="14.5703125" style="406" customWidth="1"/>
    <col min="14814" max="14814" width="14.5703125" style="406" bestFit="1" customWidth="1"/>
    <col min="14815" max="14815" width="14.42578125" style="406" customWidth="1"/>
    <col min="14816" max="14816" width="17" style="406" customWidth="1"/>
    <col min="14817" max="14817" width="16.5703125" style="406" customWidth="1"/>
    <col min="14818" max="14818" width="3.85546875" style="406" customWidth="1"/>
    <col min="14819" max="14821" width="16.5703125" style="406" customWidth="1"/>
    <col min="14822" max="14822" width="4.140625" style="406" customWidth="1"/>
    <col min="14823" max="14823" width="14" style="406" customWidth="1"/>
    <col min="14824" max="14824" width="15.85546875" style="406" customWidth="1"/>
    <col min="14825" max="14825" width="15.140625" style="406" customWidth="1"/>
    <col min="14826" max="14826" width="2.5703125" style="406" customWidth="1"/>
    <col min="14827" max="14827" width="14" style="406" bestFit="1" customWidth="1"/>
    <col min="14828" max="14828" width="15.85546875" style="406" bestFit="1" customWidth="1"/>
    <col min="14829" max="14829" width="16.85546875" style="406" customWidth="1"/>
    <col min="14830" max="15066" width="12.5703125" style="406"/>
    <col min="15067" max="15067" width="4.5703125" style="406" customWidth="1"/>
    <col min="15068" max="15068" width="56.140625" style="406" customWidth="1"/>
    <col min="15069" max="15069" width="14.5703125" style="406" customWidth="1"/>
    <col min="15070" max="15070" width="14.5703125" style="406" bestFit="1" customWidth="1"/>
    <col min="15071" max="15071" width="14.42578125" style="406" customWidth="1"/>
    <col min="15072" max="15072" width="17" style="406" customWidth="1"/>
    <col min="15073" max="15073" width="16.5703125" style="406" customWidth="1"/>
    <col min="15074" max="15074" width="3.85546875" style="406" customWidth="1"/>
    <col min="15075" max="15077" width="16.5703125" style="406" customWidth="1"/>
    <col min="15078" max="15078" width="4.140625" style="406" customWidth="1"/>
    <col min="15079" max="15079" width="14" style="406" customWidth="1"/>
    <col min="15080" max="15080" width="15.85546875" style="406" customWidth="1"/>
    <col min="15081" max="15081" width="15.140625" style="406" customWidth="1"/>
    <col min="15082" max="15082" width="2.5703125" style="406" customWidth="1"/>
    <col min="15083" max="15083" width="14" style="406" bestFit="1" customWidth="1"/>
    <col min="15084" max="15084" width="15.85546875" style="406" bestFit="1" customWidth="1"/>
    <col min="15085" max="15085" width="16.85546875" style="406" customWidth="1"/>
    <col min="15086" max="15322" width="12.5703125" style="406"/>
    <col min="15323" max="15323" width="4.5703125" style="406" customWidth="1"/>
    <col min="15324" max="15324" width="56.140625" style="406" customWidth="1"/>
    <col min="15325" max="15325" width="14.5703125" style="406" customWidth="1"/>
    <col min="15326" max="15326" width="14.5703125" style="406" bestFit="1" customWidth="1"/>
    <col min="15327" max="15327" width="14.42578125" style="406" customWidth="1"/>
    <col min="15328" max="15328" width="17" style="406" customWidth="1"/>
    <col min="15329" max="15329" width="16.5703125" style="406" customWidth="1"/>
    <col min="15330" max="15330" width="3.85546875" style="406" customWidth="1"/>
    <col min="15331" max="15333" width="16.5703125" style="406" customWidth="1"/>
    <col min="15334" max="15334" width="4.140625" style="406" customWidth="1"/>
    <col min="15335" max="15335" width="14" style="406" customWidth="1"/>
    <col min="15336" max="15336" width="15.85546875" style="406" customWidth="1"/>
    <col min="15337" max="15337" width="15.140625" style="406" customWidth="1"/>
    <col min="15338" max="15338" width="2.5703125" style="406" customWidth="1"/>
    <col min="15339" max="15339" width="14" style="406" bestFit="1" customWidth="1"/>
    <col min="15340" max="15340" width="15.85546875" style="406" bestFit="1" customWidth="1"/>
    <col min="15341" max="15341" width="16.85546875" style="406" customWidth="1"/>
    <col min="15342" max="15578" width="12.5703125" style="406"/>
    <col min="15579" max="15579" width="4.5703125" style="406" customWidth="1"/>
    <col min="15580" max="15580" width="56.140625" style="406" customWidth="1"/>
    <col min="15581" max="15581" width="14.5703125" style="406" customWidth="1"/>
    <col min="15582" max="15582" width="14.5703125" style="406" bestFit="1" customWidth="1"/>
    <col min="15583" max="15583" width="14.42578125" style="406" customWidth="1"/>
    <col min="15584" max="15584" width="17" style="406" customWidth="1"/>
    <col min="15585" max="15585" width="16.5703125" style="406" customWidth="1"/>
    <col min="15586" max="15586" width="3.85546875" style="406" customWidth="1"/>
    <col min="15587" max="15589" width="16.5703125" style="406" customWidth="1"/>
    <col min="15590" max="15590" width="4.140625" style="406" customWidth="1"/>
    <col min="15591" max="15591" width="14" style="406" customWidth="1"/>
    <col min="15592" max="15592" width="15.85546875" style="406" customWidth="1"/>
    <col min="15593" max="15593" width="15.140625" style="406" customWidth="1"/>
    <col min="15594" max="15594" width="2.5703125" style="406" customWidth="1"/>
    <col min="15595" max="15595" width="14" style="406" bestFit="1" customWidth="1"/>
    <col min="15596" max="15596" width="15.85546875" style="406" bestFit="1" customWidth="1"/>
    <col min="15597" max="15597" width="16.85546875" style="406" customWidth="1"/>
    <col min="15598" max="15834" width="12.5703125" style="406"/>
    <col min="15835" max="15835" width="4.5703125" style="406" customWidth="1"/>
    <col min="15836" max="15836" width="56.140625" style="406" customWidth="1"/>
    <col min="15837" max="15837" width="14.5703125" style="406" customWidth="1"/>
    <col min="15838" max="15838" width="14.5703125" style="406" bestFit="1" customWidth="1"/>
    <col min="15839" max="15839" width="14.42578125" style="406" customWidth="1"/>
    <col min="15840" max="15840" width="17" style="406" customWidth="1"/>
    <col min="15841" max="15841" width="16.5703125" style="406" customWidth="1"/>
    <col min="15842" max="15842" width="3.85546875" style="406" customWidth="1"/>
    <col min="15843" max="15845" width="16.5703125" style="406" customWidth="1"/>
    <col min="15846" max="15846" width="4.140625" style="406" customWidth="1"/>
    <col min="15847" max="15847" width="14" style="406" customWidth="1"/>
    <col min="15848" max="15848" width="15.85546875" style="406" customWidth="1"/>
    <col min="15849" max="15849" width="15.140625" style="406" customWidth="1"/>
    <col min="15850" max="15850" width="2.5703125" style="406" customWidth="1"/>
    <col min="15851" max="15851" width="14" style="406" bestFit="1" customWidth="1"/>
    <col min="15852" max="15852" width="15.85546875" style="406" bestFit="1" customWidth="1"/>
    <col min="15853" max="15853" width="16.85546875" style="406" customWidth="1"/>
    <col min="15854" max="16090" width="12.5703125" style="406"/>
    <col min="16091" max="16091" width="4.5703125" style="406" customWidth="1"/>
    <col min="16092" max="16092" width="56.140625" style="406" customWidth="1"/>
    <col min="16093" max="16093" width="14.5703125" style="406" customWidth="1"/>
    <col min="16094" max="16094" width="14.5703125" style="406" bestFit="1" customWidth="1"/>
    <col min="16095" max="16095" width="14.42578125" style="406" customWidth="1"/>
    <col min="16096" max="16096" width="17" style="406" customWidth="1"/>
    <col min="16097" max="16097" width="16.5703125" style="406" customWidth="1"/>
    <col min="16098" max="16098" width="3.85546875" style="406" customWidth="1"/>
    <col min="16099" max="16101" width="16.5703125" style="406" customWidth="1"/>
    <col min="16102" max="16102" width="4.140625" style="406" customWidth="1"/>
    <col min="16103" max="16103" width="14" style="406" customWidth="1"/>
    <col min="16104" max="16104" width="15.85546875" style="406" customWidth="1"/>
    <col min="16105" max="16105" width="15.140625" style="406" customWidth="1"/>
    <col min="16106" max="16106" width="2.5703125" style="406" customWidth="1"/>
    <col min="16107" max="16107" width="14" style="406" bestFit="1" customWidth="1"/>
    <col min="16108" max="16108" width="15.85546875" style="406" bestFit="1" customWidth="1"/>
    <col min="16109" max="16109" width="16.85546875" style="406" customWidth="1"/>
    <col min="16110" max="16384" width="12.5703125" style="406"/>
  </cols>
  <sheetData>
    <row r="1" spans="1:8" ht="15">
      <c r="B1" s="542" t="s">
        <v>850</v>
      </c>
      <c r="C1" s="406"/>
    </row>
    <row r="2" spans="1:8" ht="15">
      <c r="B2" s="542" t="s">
        <v>0</v>
      </c>
      <c r="C2" s="406"/>
    </row>
    <row r="3" spans="1:8" ht="15">
      <c r="B3" s="543" t="s">
        <v>1157</v>
      </c>
      <c r="C3" s="406"/>
    </row>
    <row r="4" spans="1:8" ht="15">
      <c r="B4" s="543" t="s">
        <v>628</v>
      </c>
      <c r="C4" s="406"/>
    </row>
    <row r="6" spans="1:8">
      <c r="A6" s="587"/>
      <c r="B6" s="18" t="s">
        <v>447</v>
      </c>
      <c r="C6" s="18" t="s">
        <v>448</v>
      </c>
      <c r="D6" s="18" t="s">
        <v>449</v>
      </c>
      <c r="E6" s="480"/>
      <c r="F6" s="18" t="s">
        <v>1058</v>
      </c>
      <c r="G6" s="18" t="s">
        <v>450</v>
      </c>
      <c r="H6" s="18" t="s">
        <v>1059</v>
      </c>
    </row>
    <row r="7" spans="1:8">
      <c r="A7" s="587"/>
      <c r="B7" s="480"/>
      <c r="C7" s="480"/>
      <c r="D7" s="480"/>
      <c r="E7" s="480"/>
      <c r="F7" s="480"/>
      <c r="G7" s="480"/>
      <c r="H7" s="480"/>
    </row>
    <row r="8" spans="1:8">
      <c r="A8" s="587"/>
      <c r="B8" s="480"/>
      <c r="C8" s="481"/>
      <c r="D8" s="641" t="s">
        <v>1060</v>
      </c>
      <c r="E8" s="480"/>
      <c r="F8" s="494" t="s">
        <v>1183</v>
      </c>
      <c r="G8" s="481"/>
      <c r="H8" s="481"/>
    </row>
    <row r="9" spans="1:8">
      <c r="A9" s="587"/>
      <c r="B9" s="480"/>
      <c r="C9" s="483"/>
      <c r="D9" s="480"/>
      <c r="E9" s="480"/>
      <c r="F9" s="483"/>
      <c r="G9" s="483"/>
      <c r="H9" s="483"/>
    </row>
    <row r="10" spans="1:8">
      <c r="A10" s="587"/>
      <c r="B10" s="480"/>
      <c r="C10" s="482" t="s">
        <v>451</v>
      </c>
      <c r="D10" s="482" t="s">
        <v>451</v>
      </c>
      <c r="E10" s="480"/>
      <c r="F10" s="480"/>
      <c r="G10" s="480"/>
      <c r="H10" s="480"/>
    </row>
    <row r="11" spans="1:8">
      <c r="A11" s="587"/>
      <c r="B11" s="18" t="s">
        <v>452</v>
      </c>
      <c r="C11" s="638">
        <v>45291</v>
      </c>
      <c r="D11" s="638">
        <v>45291</v>
      </c>
      <c r="E11" s="480"/>
      <c r="F11" s="18" t="s">
        <v>453</v>
      </c>
      <c r="G11" s="18" t="s">
        <v>366</v>
      </c>
      <c r="H11" s="18" t="s">
        <v>367</v>
      </c>
    </row>
    <row r="12" spans="1:8">
      <c r="A12" s="587"/>
      <c r="B12" s="480"/>
      <c r="C12" s="480"/>
      <c r="D12" s="480"/>
      <c r="E12" s="480"/>
      <c r="F12" s="480"/>
      <c r="G12" s="480"/>
      <c r="H12" s="480"/>
    </row>
    <row r="13" spans="1:8">
      <c r="A13" s="642">
        <v>1</v>
      </c>
      <c r="B13" s="643" t="s">
        <v>454</v>
      </c>
      <c r="C13" s="644"/>
      <c r="D13" s="645"/>
      <c r="E13" s="644"/>
      <c r="F13" s="644"/>
      <c r="G13" s="644"/>
      <c r="H13" s="644"/>
    </row>
    <row r="14" spans="1:8">
      <c r="A14" s="642">
        <v>2.0099999999999998</v>
      </c>
      <c r="B14" s="643"/>
      <c r="C14" s="644"/>
      <c r="D14" s="644"/>
      <c r="E14" s="644"/>
      <c r="F14" s="644"/>
      <c r="G14" s="644"/>
      <c r="H14" s="644"/>
    </row>
    <row r="15" spans="1:8">
      <c r="A15" s="642">
        <v>2.02</v>
      </c>
      <c r="B15" s="643" t="s">
        <v>537</v>
      </c>
      <c r="C15" s="644">
        <f>SUM(F15:H15)</f>
        <v>206273193.34999999</v>
      </c>
      <c r="D15" s="644"/>
      <c r="E15" s="644"/>
      <c r="F15" s="643">
        <v>206273193.34999999</v>
      </c>
      <c r="G15" s="643"/>
      <c r="H15" s="643"/>
    </row>
    <row r="16" spans="1:8">
      <c r="A16" s="642">
        <v>2.0299999999999998</v>
      </c>
      <c r="B16" s="643"/>
      <c r="C16" s="644"/>
      <c r="D16" s="644"/>
      <c r="E16" s="644"/>
      <c r="F16" s="644"/>
      <c r="G16" s="644"/>
      <c r="H16" s="644"/>
    </row>
    <row r="17" spans="1:10">
      <c r="A17" s="642">
        <v>2.04</v>
      </c>
      <c r="B17" s="643" t="s">
        <v>455</v>
      </c>
      <c r="C17" s="644">
        <v>0</v>
      </c>
      <c r="D17" s="644">
        <v>0</v>
      </c>
      <c r="E17" s="644"/>
      <c r="F17" s="644"/>
      <c r="G17" s="644"/>
      <c r="H17" s="644"/>
    </row>
    <row r="18" spans="1:10">
      <c r="A18" s="642">
        <v>2.0499999999999998</v>
      </c>
      <c r="B18" s="643" t="s">
        <v>456</v>
      </c>
      <c r="C18" s="644">
        <v>0</v>
      </c>
      <c r="D18" s="644">
        <v>0</v>
      </c>
      <c r="E18" s="644"/>
      <c r="F18" s="644"/>
      <c r="G18" s="644"/>
      <c r="H18" s="644"/>
    </row>
    <row r="19" spans="1:10">
      <c r="A19" s="642">
        <v>2.06</v>
      </c>
      <c r="B19" s="643" t="s">
        <v>457</v>
      </c>
      <c r="C19" s="644">
        <f>-D19</f>
        <v>-83833284.530000001</v>
      </c>
      <c r="D19" s="644">
        <v>83833284.530000001</v>
      </c>
      <c r="E19" s="644"/>
      <c r="F19" s="644"/>
      <c r="G19" s="644"/>
      <c r="H19" s="644"/>
    </row>
    <row r="20" spans="1:10">
      <c r="A20" s="646"/>
      <c r="B20" s="647"/>
      <c r="C20" s="644"/>
      <c r="D20" s="644"/>
      <c r="E20" s="644"/>
      <c r="F20" s="644"/>
      <c r="G20" s="644"/>
      <c r="H20" s="644"/>
    </row>
    <row r="21" spans="1:10" ht="13.5" thickBot="1">
      <c r="A21" s="648">
        <v>3</v>
      </c>
      <c r="B21" s="649" t="s">
        <v>458</v>
      </c>
      <c r="C21" s="650">
        <f>SUM(C15:C20)</f>
        <v>122439908.81999999</v>
      </c>
      <c r="D21" s="650">
        <f>SUM(D15:D20)</f>
        <v>83833284.530000001</v>
      </c>
      <c r="E21" s="644"/>
      <c r="F21" s="650">
        <f>SUM(F15:F20)</f>
        <v>206273193.34999999</v>
      </c>
      <c r="G21" s="650">
        <f>SUM(G15:G20)</f>
        <v>0</v>
      </c>
      <c r="H21" s="650">
        <f>SUM(H15:H20)</f>
        <v>0</v>
      </c>
      <c r="I21" s="406">
        <f>F21</f>
        <v>206273193.34999999</v>
      </c>
      <c r="J21" s="672" t="s">
        <v>1094</v>
      </c>
    </row>
    <row r="22" spans="1:10" ht="13.5" thickTop="1">
      <c r="A22" s="648">
        <f>A21+1</f>
        <v>4</v>
      </c>
      <c r="B22" s="651" t="s">
        <v>1079</v>
      </c>
      <c r="C22" s="652">
        <v>0</v>
      </c>
      <c r="D22" s="652">
        <v>0</v>
      </c>
      <c r="E22" s="653"/>
      <c r="F22" s="652">
        <v>0</v>
      </c>
      <c r="G22" s="652">
        <v>0</v>
      </c>
      <c r="H22" s="652">
        <v>0</v>
      </c>
    </row>
    <row r="23" spans="1:10">
      <c r="A23" s="648"/>
      <c r="B23" s="647"/>
      <c r="C23" s="644"/>
      <c r="D23" s="644"/>
      <c r="E23" s="644"/>
      <c r="F23" s="644"/>
      <c r="G23" s="644"/>
      <c r="H23" s="644"/>
    </row>
    <row r="24" spans="1:10">
      <c r="A24" s="648">
        <v>5</v>
      </c>
      <c r="B24" s="654" t="s">
        <v>459</v>
      </c>
      <c r="C24" s="644"/>
      <c r="D24" s="644"/>
      <c r="E24" s="644"/>
      <c r="F24" s="644"/>
      <c r="G24" s="644"/>
      <c r="H24" s="644"/>
    </row>
    <row r="25" spans="1:10">
      <c r="A25" s="655"/>
      <c r="B25" s="647"/>
      <c r="C25" s="644"/>
      <c r="D25" s="644"/>
      <c r="E25" s="644"/>
      <c r="F25" s="644"/>
      <c r="G25" s="644"/>
      <c r="H25" s="644"/>
    </row>
    <row r="26" spans="1:10">
      <c r="A26" s="655"/>
      <c r="B26" s="647"/>
      <c r="C26" s="644"/>
      <c r="D26" s="644"/>
      <c r="E26" s="644"/>
      <c r="F26" s="644"/>
      <c r="G26" s="644"/>
      <c r="H26" s="644"/>
    </row>
    <row r="27" spans="1:10">
      <c r="A27" s="642">
        <v>5.01</v>
      </c>
      <c r="B27" s="643" t="s">
        <v>1</v>
      </c>
      <c r="C27" s="644">
        <f>SUM(F27:H27)</f>
        <v>794058364.48000002</v>
      </c>
      <c r="D27" s="484"/>
      <c r="E27" s="644"/>
      <c r="F27" s="644">
        <v>187517008.04000002</v>
      </c>
      <c r="G27" s="644">
        <v>378246125.71999997</v>
      </c>
      <c r="H27" s="644">
        <v>228295230.72000003</v>
      </c>
    </row>
    <row r="28" spans="1:10">
      <c r="A28" s="642">
        <f>A27+0.01</f>
        <v>5.0199999999999996</v>
      </c>
      <c r="B28" s="643" t="s">
        <v>2</v>
      </c>
      <c r="C28" s="644">
        <f t="shared" ref="C28:C74" si="0">SUM(F28:H28)</f>
        <v>0</v>
      </c>
      <c r="D28" s="484"/>
      <c r="E28" s="644"/>
      <c r="F28" s="644">
        <v>0</v>
      </c>
      <c r="G28" s="644">
        <v>0</v>
      </c>
      <c r="H28" s="644">
        <v>0</v>
      </c>
    </row>
    <row r="29" spans="1:10">
      <c r="A29" s="642">
        <f t="shared" ref="A29:A78" si="1">A28+0.01</f>
        <v>5.0299999999999994</v>
      </c>
      <c r="B29" s="643" t="s">
        <v>870</v>
      </c>
      <c r="C29" s="644">
        <f t="shared" si="0"/>
        <v>0</v>
      </c>
      <c r="D29" s="484"/>
      <c r="E29" s="644"/>
      <c r="F29" s="644">
        <v>0</v>
      </c>
      <c r="G29" s="644">
        <v>0</v>
      </c>
      <c r="H29" s="644">
        <v>0</v>
      </c>
    </row>
    <row r="30" spans="1:10">
      <c r="A30" s="642">
        <f t="shared" si="1"/>
        <v>5.0399999999999991</v>
      </c>
      <c r="B30" s="658" t="s">
        <v>871</v>
      </c>
      <c r="C30" s="644">
        <f t="shared" si="0"/>
        <v>-0.21</v>
      </c>
      <c r="D30" s="659"/>
      <c r="E30" s="659"/>
      <c r="F30" s="659">
        <v>0</v>
      </c>
      <c r="G30" s="659">
        <v>0</v>
      </c>
      <c r="H30" s="659">
        <v>-0.21</v>
      </c>
    </row>
    <row r="31" spans="1:10">
      <c r="A31" s="642">
        <f t="shared" si="1"/>
        <v>5.0499999999999989</v>
      </c>
      <c r="B31" s="658" t="s">
        <v>872</v>
      </c>
      <c r="C31" s="644">
        <f t="shared" si="0"/>
        <v>-0.13</v>
      </c>
      <c r="D31" s="659"/>
      <c r="E31" s="659"/>
      <c r="F31" s="659">
        <v>0</v>
      </c>
      <c r="G31" s="659">
        <v>-0.13</v>
      </c>
      <c r="H31" s="659">
        <v>0</v>
      </c>
    </row>
    <row r="32" spans="1:10">
      <c r="A32" s="642">
        <f t="shared" si="1"/>
        <v>5.0599999999999987</v>
      </c>
      <c r="B32" s="643" t="s">
        <v>460</v>
      </c>
      <c r="C32" s="644">
        <f t="shared" si="0"/>
        <v>2316072.29</v>
      </c>
      <c r="D32" s="484"/>
      <c r="E32" s="644"/>
      <c r="F32" s="644">
        <v>2020289.39</v>
      </c>
      <c r="G32" s="644">
        <v>82604.759999999995</v>
      </c>
      <c r="H32" s="644">
        <v>213178.14</v>
      </c>
    </row>
    <row r="33" spans="1:8">
      <c r="A33" s="642">
        <f t="shared" si="1"/>
        <v>5.0699999999999985</v>
      </c>
      <c r="B33" s="639" t="s">
        <v>873</v>
      </c>
      <c r="C33" s="644">
        <f t="shared" si="0"/>
        <v>19843899.990000002</v>
      </c>
      <c r="D33" s="488"/>
      <c r="E33" s="488"/>
      <c r="F33" s="488">
        <v>19672289.16</v>
      </c>
      <c r="G33" s="488">
        <v>181.53</v>
      </c>
      <c r="H33" s="488">
        <v>171429.3</v>
      </c>
    </row>
    <row r="34" spans="1:8">
      <c r="A34" s="642">
        <f t="shared" si="1"/>
        <v>5.0799999999999983</v>
      </c>
      <c r="B34" s="639" t="s">
        <v>3</v>
      </c>
      <c r="C34" s="644">
        <f t="shared" si="0"/>
        <v>-1343474.99</v>
      </c>
      <c r="D34" s="488"/>
      <c r="E34" s="488"/>
      <c r="F34" s="488">
        <v>-1343474.99</v>
      </c>
      <c r="G34" s="488">
        <v>0</v>
      </c>
      <c r="H34" s="488">
        <v>0</v>
      </c>
    </row>
    <row r="35" spans="1:8">
      <c r="A35" s="642">
        <f t="shared" si="1"/>
        <v>5.0899999999999981</v>
      </c>
      <c r="B35" s="643" t="s">
        <v>1080</v>
      </c>
      <c r="C35" s="644">
        <f t="shared" si="0"/>
        <v>0</v>
      </c>
      <c r="D35" s="484"/>
      <c r="E35" s="644"/>
      <c r="F35" s="644">
        <v>0</v>
      </c>
      <c r="G35" s="644">
        <v>0</v>
      </c>
      <c r="H35" s="644">
        <v>0</v>
      </c>
    </row>
    <row r="36" spans="1:8">
      <c r="A36" s="642">
        <f t="shared" si="1"/>
        <v>5.0999999999999979</v>
      </c>
      <c r="B36" s="643" t="s">
        <v>1002</v>
      </c>
      <c r="C36" s="644">
        <f t="shared" si="0"/>
        <v>11388394.890000001</v>
      </c>
      <c r="D36" s="484"/>
      <c r="E36" s="644"/>
      <c r="F36" s="644">
        <v>11388394.890000001</v>
      </c>
      <c r="G36" s="644">
        <v>0</v>
      </c>
      <c r="H36" s="644">
        <v>0</v>
      </c>
    </row>
    <row r="37" spans="1:8">
      <c r="A37" s="642">
        <f t="shared" si="1"/>
        <v>5.1099999999999977</v>
      </c>
      <c r="B37" s="643" t="s">
        <v>4</v>
      </c>
      <c r="C37" s="644">
        <f t="shared" si="0"/>
        <v>42823751.209999993</v>
      </c>
      <c r="D37" s="484"/>
      <c r="E37" s="644"/>
      <c r="F37" s="644">
        <v>42823751.209999993</v>
      </c>
      <c r="G37" s="644">
        <v>0</v>
      </c>
      <c r="H37" s="644">
        <v>0</v>
      </c>
    </row>
    <row r="38" spans="1:8">
      <c r="A38" s="642">
        <f t="shared" si="1"/>
        <v>5.1199999999999974</v>
      </c>
      <c r="B38" s="643" t="s">
        <v>437</v>
      </c>
      <c r="C38" s="644">
        <f t="shared" si="0"/>
        <v>80244224.590000004</v>
      </c>
      <c r="D38" s="484"/>
      <c r="E38" s="644"/>
      <c r="F38" s="644">
        <v>32540277.800000001</v>
      </c>
      <c r="G38" s="644">
        <v>7422512.2999999998</v>
      </c>
      <c r="H38" s="644">
        <v>40281434.489999995</v>
      </c>
    </row>
    <row r="39" spans="1:8">
      <c r="A39" s="642">
        <f t="shared" si="1"/>
        <v>5.1299999999999972</v>
      </c>
      <c r="B39" s="643" t="s">
        <v>874</v>
      </c>
      <c r="C39" s="644">
        <f t="shared" si="0"/>
        <v>-7935566.2800000003</v>
      </c>
      <c r="D39" s="484"/>
      <c r="E39" s="644"/>
      <c r="F39" s="644">
        <v>-7935566.2800000003</v>
      </c>
      <c r="G39" s="644">
        <v>0</v>
      </c>
      <c r="H39" s="644">
        <v>0</v>
      </c>
    </row>
    <row r="40" spans="1:8">
      <c r="A40" s="642">
        <f t="shared" si="1"/>
        <v>5.139999999999997</v>
      </c>
      <c r="B40" s="643" t="s">
        <v>438</v>
      </c>
      <c r="C40" s="644">
        <f t="shared" si="0"/>
        <v>682387.44000000006</v>
      </c>
      <c r="D40" s="484"/>
      <c r="E40" s="644"/>
      <c r="F40" s="644">
        <v>682378.82000000007</v>
      </c>
      <c r="G40" s="644">
        <v>3.7200000000011642</v>
      </c>
      <c r="H40" s="644">
        <v>4.8999999999941792</v>
      </c>
    </row>
    <row r="41" spans="1:8">
      <c r="A41" s="642">
        <f t="shared" si="1"/>
        <v>5.1499999999999968</v>
      </c>
      <c r="B41" s="643" t="s">
        <v>5</v>
      </c>
      <c r="C41" s="644">
        <f t="shared" si="0"/>
        <v>1971147.4700000002</v>
      </c>
      <c r="D41" s="484"/>
      <c r="E41" s="644"/>
      <c r="F41" s="644">
        <v>0</v>
      </c>
      <c r="G41" s="644">
        <v>1971147.4700000002</v>
      </c>
      <c r="H41" s="644">
        <v>0</v>
      </c>
    </row>
    <row r="42" spans="1:8">
      <c r="A42" s="642">
        <f t="shared" si="1"/>
        <v>5.1599999999999966</v>
      </c>
      <c r="B42" s="643" t="s">
        <v>6</v>
      </c>
      <c r="C42" s="644">
        <f t="shared" si="0"/>
        <v>7770.9800000000032</v>
      </c>
      <c r="D42" s="484"/>
      <c r="E42" s="644"/>
      <c r="F42" s="644">
        <v>0</v>
      </c>
      <c r="G42" s="644">
        <v>2753.8099999999977</v>
      </c>
      <c r="H42" s="644">
        <v>5017.1700000000055</v>
      </c>
    </row>
    <row r="43" spans="1:8">
      <c r="A43" s="642">
        <f t="shared" si="1"/>
        <v>5.1699999999999964</v>
      </c>
      <c r="B43" s="643" t="s">
        <v>7</v>
      </c>
      <c r="C43" s="644">
        <f t="shared" si="0"/>
        <v>6610.7900000000009</v>
      </c>
      <c r="D43" s="484"/>
      <c r="E43" s="644"/>
      <c r="F43" s="644">
        <v>0</v>
      </c>
      <c r="G43" s="644">
        <v>0</v>
      </c>
      <c r="H43" s="644">
        <v>6610.7900000000009</v>
      </c>
    </row>
    <row r="44" spans="1:8">
      <c r="A44" s="642">
        <f t="shared" si="1"/>
        <v>5.1799999999999962</v>
      </c>
      <c r="B44" s="658" t="s">
        <v>875</v>
      </c>
      <c r="C44" s="644">
        <f t="shared" si="0"/>
        <v>0</v>
      </c>
      <c r="D44" s="659"/>
      <c r="E44" s="659"/>
      <c r="F44" s="659">
        <v>0</v>
      </c>
      <c r="G44" s="659">
        <v>0</v>
      </c>
      <c r="H44" s="659">
        <v>0</v>
      </c>
    </row>
    <row r="45" spans="1:8">
      <c r="A45" s="642">
        <f t="shared" si="1"/>
        <v>5.1899999999999959</v>
      </c>
      <c r="B45" s="658" t="s">
        <v>876</v>
      </c>
      <c r="C45" s="644">
        <f t="shared" si="0"/>
        <v>-1.0000000009313226E-2</v>
      </c>
      <c r="D45" s="659"/>
      <c r="E45" s="659"/>
      <c r="F45" s="659">
        <v>0</v>
      </c>
      <c r="G45" s="659">
        <v>-1.0000000009313226E-2</v>
      </c>
      <c r="H45" s="659">
        <v>0</v>
      </c>
    </row>
    <row r="46" spans="1:8">
      <c r="A46" s="642">
        <f t="shared" si="1"/>
        <v>5.1999999999999957</v>
      </c>
      <c r="B46" s="658" t="s">
        <v>461</v>
      </c>
      <c r="C46" s="644">
        <f t="shared" si="0"/>
        <v>-42119.61</v>
      </c>
      <c r="D46" s="659"/>
      <c r="E46" s="659"/>
      <c r="F46" s="659">
        <v>-39563.67</v>
      </c>
      <c r="G46" s="659">
        <v>-1212.93</v>
      </c>
      <c r="H46" s="659">
        <v>-1343.01</v>
      </c>
    </row>
    <row r="47" spans="1:8">
      <c r="A47" s="642">
        <f t="shared" si="1"/>
        <v>5.2099999999999955</v>
      </c>
      <c r="B47" s="658" t="s">
        <v>877</v>
      </c>
      <c r="C47" s="644">
        <f t="shared" si="0"/>
        <v>0</v>
      </c>
      <c r="D47" s="659"/>
      <c r="E47" s="659"/>
      <c r="F47" s="659">
        <v>0</v>
      </c>
      <c r="G47" s="659">
        <v>0</v>
      </c>
      <c r="H47" s="659">
        <v>0</v>
      </c>
    </row>
    <row r="48" spans="1:8">
      <c r="A48" s="642">
        <f t="shared" si="1"/>
        <v>5.2199999999999953</v>
      </c>
      <c r="B48" s="643" t="s">
        <v>439</v>
      </c>
      <c r="C48" s="644">
        <f t="shared" si="0"/>
        <v>8480212.5300000012</v>
      </c>
      <c r="D48" s="484"/>
      <c r="E48" s="644"/>
      <c r="F48" s="644">
        <v>5682992.3899999997</v>
      </c>
      <c r="G48" s="644">
        <v>915973.81000000052</v>
      </c>
      <c r="H48" s="644">
        <v>1881246.33</v>
      </c>
    </row>
    <row r="49" spans="1:8">
      <c r="A49" s="642">
        <f t="shared" si="1"/>
        <v>5.2299999999999951</v>
      </c>
      <c r="B49" s="643" t="s">
        <v>462</v>
      </c>
      <c r="C49" s="644">
        <f t="shared" si="0"/>
        <v>286640698.25999999</v>
      </c>
      <c r="D49" s="484"/>
      <c r="E49" s="644"/>
      <c r="F49" s="644">
        <v>128249416.87</v>
      </c>
      <c r="G49" s="644">
        <v>47935538.93</v>
      </c>
      <c r="H49" s="644">
        <v>110455742.46000001</v>
      </c>
    </row>
    <row r="50" spans="1:8">
      <c r="A50" s="642">
        <f t="shared" si="1"/>
        <v>5.2399999999999949</v>
      </c>
      <c r="B50" s="643" t="s">
        <v>463</v>
      </c>
      <c r="C50" s="644">
        <f t="shared" si="0"/>
        <v>159718932.00999999</v>
      </c>
      <c r="D50" s="484"/>
      <c r="E50" s="644"/>
      <c r="F50" s="644">
        <v>53876008.810000002</v>
      </c>
      <c r="G50" s="644">
        <v>34206422.670000002</v>
      </c>
      <c r="H50" s="644">
        <v>71636500.530000001</v>
      </c>
    </row>
    <row r="51" spans="1:8">
      <c r="A51" s="642">
        <f t="shared" si="1"/>
        <v>5.2499999999999947</v>
      </c>
      <c r="B51" s="643" t="s">
        <v>1061</v>
      </c>
      <c r="C51" s="644">
        <f t="shared" si="0"/>
        <v>72845635.379999995</v>
      </c>
      <c r="D51" s="484"/>
      <c r="E51" s="644"/>
      <c r="F51" s="644">
        <v>0</v>
      </c>
      <c r="G51" s="644">
        <v>34172932.5</v>
      </c>
      <c r="H51" s="644">
        <v>38672702.880000003</v>
      </c>
    </row>
    <row r="52" spans="1:8">
      <c r="A52" s="642">
        <f t="shared" si="1"/>
        <v>5.2599999999999945</v>
      </c>
      <c r="B52" s="643" t="s">
        <v>1062</v>
      </c>
      <c r="C52" s="644">
        <f t="shared" si="0"/>
        <v>41567431.710000001</v>
      </c>
      <c r="D52" s="484"/>
      <c r="E52" s="644"/>
      <c r="F52" s="644">
        <v>13639431.119999999</v>
      </c>
      <c r="G52" s="644">
        <v>0</v>
      </c>
      <c r="H52" s="644">
        <v>27928000.59</v>
      </c>
    </row>
    <row r="53" spans="1:8">
      <c r="A53" s="642">
        <f t="shared" si="1"/>
        <v>5.2699999999999942</v>
      </c>
      <c r="B53" s="643" t="s">
        <v>1003</v>
      </c>
      <c r="C53" s="644">
        <f t="shared" si="0"/>
        <v>16142770.619999999</v>
      </c>
      <c r="D53" s="484"/>
      <c r="E53" s="644"/>
      <c r="F53" s="644">
        <v>16142770.619999999</v>
      </c>
      <c r="G53" s="644">
        <v>0</v>
      </c>
      <c r="H53" s="644">
        <v>0</v>
      </c>
    </row>
    <row r="54" spans="1:8">
      <c r="A54" s="642">
        <f t="shared" si="1"/>
        <v>5.279999999999994</v>
      </c>
      <c r="B54" s="643" t="s">
        <v>1004</v>
      </c>
      <c r="C54" s="644">
        <f t="shared" si="0"/>
        <v>3157388.39</v>
      </c>
      <c r="D54" s="484"/>
      <c r="E54" s="644"/>
      <c r="F54" s="644">
        <v>3157388.39</v>
      </c>
      <c r="G54" s="644">
        <v>0</v>
      </c>
      <c r="H54" s="644">
        <v>0</v>
      </c>
    </row>
    <row r="55" spans="1:8">
      <c r="A55" s="642">
        <f t="shared" si="1"/>
        <v>5.2899999999999938</v>
      </c>
      <c r="B55" s="643" t="s">
        <v>1012</v>
      </c>
      <c r="C55" s="644">
        <f t="shared" si="0"/>
        <v>1898399.1600000001</v>
      </c>
      <c r="D55" s="484"/>
      <c r="E55" s="644"/>
      <c r="F55" s="644">
        <v>651837.9</v>
      </c>
      <c r="G55" s="644">
        <v>307759.62</v>
      </c>
      <c r="H55" s="644">
        <v>938801.64</v>
      </c>
    </row>
    <row r="56" spans="1:8">
      <c r="A56" s="642">
        <f t="shared" si="1"/>
        <v>5.2999999999999936</v>
      </c>
      <c r="B56" s="643" t="s">
        <v>1099</v>
      </c>
      <c r="C56" s="644">
        <f t="shared" si="0"/>
        <v>593268.67999999993</v>
      </c>
      <c r="D56" s="484"/>
      <c r="E56" s="644"/>
      <c r="F56" s="644">
        <v>200998.89</v>
      </c>
      <c r="G56" s="644">
        <v>89557.17</v>
      </c>
      <c r="H56" s="644">
        <v>302712.62</v>
      </c>
    </row>
    <row r="57" spans="1:8">
      <c r="A57" s="642">
        <f t="shared" si="1"/>
        <v>5.3099999999999934</v>
      </c>
      <c r="B57" s="643" t="s">
        <v>440</v>
      </c>
      <c r="C57" s="644">
        <f t="shared" si="0"/>
        <v>3079274.42</v>
      </c>
      <c r="D57" s="484"/>
      <c r="E57" s="644"/>
      <c r="F57" s="644">
        <v>0</v>
      </c>
      <c r="G57" s="644">
        <v>293352.58999999997</v>
      </c>
      <c r="H57" s="644">
        <v>2785921.83</v>
      </c>
    </row>
    <row r="58" spans="1:8">
      <c r="A58" s="642">
        <f t="shared" si="1"/>
        <v>5.3199999999999932</v>
      </c>
      <c r="B58" s="643" t="s">
        <v>8</v>
      </c>
      <c r="C58" s="644">
        <f t="shared" si="0"/>
        <v>-0.21</v>
      </c>
      <c r="D58" s="484"/>
      <c r="E58" s="644"/>
      <c r="F58" s="644">
        <v>0</v>
      </c>
      <c r="G58" s="644">
        <v>0</v>
      </c>
      <c r="H58" s="644">
        <v>-0.21</v>
      </c>
    </row>
    <row r="59" spans="1:8">
      <c r="A59" s="642">
        <f t="shared" si="1"/>
        <v>5.329999999999993</v>
      </c>
      <c r="B59" s="677" t="s">
        <v>1081</v>
      </c>
      <c r="C59" s="484">
        <f t="shared" si="0"/>
        <v>15484496.77</v>
      </c>
      <c r="D59" s="484"/>
      <c r="E59" s="484"/>
      <c r="F59" s="484">
        <v>7239120.8600000003</v>
      </c>
      <c r="G59" s="484">
        <v>152810.29</v>
      </c>
      <c r="H59" s="484">
        <v>8092565.6200000001</v>
      </c>
    </row>
    <row r="60" spans="1:8">
      <c r="A60" s="642">
        <f t="shared" si="1"/>
        <v>5.3399999999999928</v>
      </c>
      <c r="B60" s="656" t="s">
        <v>9</v>
      </c>
      <c r="C60" s="644">
        <f t="shared" si="0"/>
        <v>0</v>
      </c>
      <c r="D60" s="657"/>
      <c r="E60" s="657"/>
      <c r="F60" s="657">
        <v>0</v>
      </c>
      <c r="G60" s="657">
        <v>0</v>
      </c>
      <c r="H60" s="657">
        <v>0</v>
      </c>
    </row>
    <row r="61" spans="1:8">
      <c r="A61" s="642">
        <f t="shared" si="1"/>
        <v>5.3499999999999925</v>
      </c>
      <c r="B61" s="643" t="s">
        <v>851</v>
      </c>
      <c r="C61" s="644">
        <f t="shared" si="0"/>
        <v>-8249479.5599999996</v>
      </c>
      <c r="D61" s="484"/>
      <c r="E61" s="644"/>
      <c r="F61" s="644">
        <v>-8249479.5599999996</v>
      </c>
      <c r="G61" s="644">
        <v>0</v>
      </c>
      <c r="H61" s="644">
        <v>0</v>
      </c>
    </row>
    <row r="62" spans="1:8">
      <c r="A62" s="642">
        <f t="shared" si="1"/>
        <v>5.3599999999999923</v>
      </c>
      <c r="B62" s="643" t="s">
        <v>10</v>
      </c>
      <c r="C62" s="644">
        <f t="shared" si="0"/>
        <v>0</v>
      </c>
      <c r="D62" s="484"/>
      <c r="E62" s="644"/>
      <c r="F62" s="644">
        <v>0</v>
      </c>
      <c r="G62" s="644">
        <v>0</v>
      </c>
      <c r="H62" s="644">
        <v>0</v>
      </c>
    </row>
    <row r="63" spans="1:8">
      <c r="A63" s="642">
        <f t="shared" si="1"/>
        <v>5.3699999999999921</v>
      </c>
      <c r="B63" s="643" t="s">
        <v>464</v>
      </c>
      <c r="C63" s="644">
        <f t="shared" si="0"/>
        <v>0</v>
      </c>
      <c r="D63" s="484"/>
      <c r="E63" s="644"/>
      <c r="F63" s="644">
        <v>0</v>
      </c>
      <c r="G63" s="644">
        <v>0</v>
      </c>
      <c r="H63" s="644">
        <v>0</v>
      </c>
    </row>
    <row r="64" spans="1:8">
      <c r="A64" s="642">
        <f t="shared" si="1"/>
        <v>5.3799999999999919</v>
      </c>
      <c r="B64" s="643" t="s">
        <v>852</v>
      </c>
      <c r="C64" s="644">
        <f t="shared" si="0"/>
        <v>0</v>
      </c>
      <c r="D64" s="484"/>
      <c r="E64" s="644"/>
      <c r="F64" s="644">
        <v>0</v>
      </c>
      <c r="G64" s="644">
        <v>0</v>
      </c>
      <c r="H64" s="644">
        <v>0</v>
      </c>
    </row>
    <row r="65" spans="1:8">
      <c r="A65" s="642">
        <f t="shared" si="1"/>
        <v>5.3899999999999917</v>
      </c>
      <c r="B65" s="677" t="s">
        <v>11</v>
      </c>
      <c r="C65" s="484">
        <f t="shared" si="0"/>
        <v>12259939.939999999</v>
      </c>
      <c r="D65" s="484"/>
      <c r="E65" s="484"/>
      <c r="F65" s="484">
        <v>12259939.939999999</v>
      </c>
      <c r="G65" s="484">
        <v>0</v>
      </c>
      <c r="H65" s="484">
        <v>0</v>
      </c>
    </row>
    <row r="66" spans="1:8">
      <c r="A66" s="642">
        <f t="shared" si="1"/>
        <v>5.3999999999999915</v>
      </c>
      <c r="B66" s="639" t="s">
        <v>12</v>
      </c>
      <c r="C66" s="644">
        <f t="shared" si="0"/>
        <v>-38590.49</v>
      </c>
      <c r="D66" s="488"/>
      <c r="E66" s="488"/>
      <c r="F66" s="488">
        <v>-38590.49</v>
      </c>
      <c r="G66" s="488">
        <v>0</v>
      </c>
      <c r="H66" s="488">
        <v>0</v>
      </c>
    </row>
    <row r="67" spans="1:8">
      <c r="A67" s="642">
        <f t="shared" si="1"/>
        <v>5.4099999999999913</v>
      </c>
      <c r="B67" s="639" t="s">
        <v>13</v>
      </c>
      <c r="C67" s="644">
        <f t="shared" si="0"/>
        <v>-479025.49</v>
      </c>
      <c r="D67" s="488"/>
      <c r="E67" s="488"/>
      <c r="F67" s="488">
        <v>-479025.49</v>
      </c>
      <c r="G67" s="488">
        <v>0</v>
      </c>
      <c r="H67" s="488">
        <v>0</v>
      </c>
    </row>
    <row r="68" spans="1:8">
      <c r="A68" s="642">
        <f t="shared" si="1"/>
        <v>5.419999999999991</v>
      </c>
      <c r="B68" s="656" t="s">
        <v>14</v>
      </c>
      <c r="C68" s="644">
        <f t="shared" si="0"/>
        <v>-189791.22</v>
      </c>
      <c r="D68" s="657"/>
      <c r="E68" s="657"/>
      <c r="F68" s="657">
        <v>-189791.22</v>
      </c>
      <c r="G68" s="657">
        <v>0</v>
      </c>
      <c r="H68" s="657">
        <v>0</v>
      </c>
    </row>
    <row r="69" spans="1:8">
      <c r="A69" s="642">
        <f t="shared" si="1"/>
        <v>5.4299999999999908</v>
      </c>
      <c r="B69" s="656" t="s">
        <v>15</v>
      </c>
      <c r="C69" s="644">
        <f t="shared" si="0"/>
        <v>187693.2</v>
      </c>
      <c r="D69" s="657"/>
      <c r="E69" s="657"/>
      <c r="F69" s="657">
        <v>187693.2</v>
      </c>
      <c r="G69" s="657">
        <v>0</v>
      </c>
      <c r="H69" s="657">
        <v>0</v>
      </c>
    </row>
    <row r="70" spans="1:8">
      <c r="A70" s="642">
        <f t="shared" si="1"/>
        <v>5.4399999999999906</v>
      </c>
      <c r="B70" s="677" t="s">
        <v>16</v>
      </c>
      <c r="C70" s="484">
        <f t="shared" si="0"/>
        <v>0</v>
      </c>
      <c r="D70" s="484"/>
      <c r="E70" s="484"/>
      <c r="F70" s="484">
        <v>0</v>
      </c>
      <c r="G70" s="484">
        <v>0</v>
      </c>
      <c r="H70" s="484">
        <v>0</v>
      </c>
    </row>
    <row r="71" spans="1:8">
      <c r="A71" s="642">
        <f t="shared" si="1"/>
        <v>5.4499999999999904</v>
      </c>
      <c r="B71" s="658" t="s">
        <v>1013</v>
      </c>
      <c r="C71" s="644">
        <f t="shared" si="0"/>
        <v>0</v>
      </c>
      <c r="D71" s="659"/>
      <c r="E71" s="659"/>
      <c r="F71" s="659">
        <v>0</v>
      </c>
      <c r="G71" s="659">
        <v>0</v>
      </c>
      <c r="H71" s="659">
        <v>0</v>
      </c>
    </row>
    <row r="72" spans="1:8">
      <c r="A72" s="642">
        <f t="shared" si="1"/>
        <v>5.4599999999999902</v>
      </c>
      <c r="B72" s="643" t="s">
        <v>1100</v>
      </c>
      <c r="C72" s="644">
        <f t="shared" si="0"/>
        <v>-41548923</v>
      </c>
      <c r="D72" s="484"/>
      <c r="E72" s="644"/>
      <c r="F72" s="644">
        <v>-22659810</v>
      </c>
      <c r="G72" s="644">
        <v>-37177005</v>
      </c>
      <c r="H72" s="644">
        <v>18287892</v>
      </c>
    </row>
    <row r="73" spans="1:8">
      <c r="A73" s="642">
        <f t="shared" si="1"/>
        <v>5.46999999999999</v>
      </c>
      <c r="B73" s="643" t="s">
        <v>1063</v>
      </c>
      <c r="C73" s="644">
        <f t="shared" si="0"/>
        <v>489015409.54000002</v>
      </c>
      <c r="D73" s="484"/>
      <c r="E73" s="644"/>
      <c r="F73" s="644">
        <v>137817368.49000001</v>
      </c>
      <c r="G73" s="644">
        <v>193725085.73000002</v>
      </c>
      <c r="H73" s="644">
        <v>157472955.31999999</v>
      </c>
    </row>
    <row r="74" spans="1:8">
      <c r="A74" s="642">
        <f t="shared" si="1"/>
        <v>5.4799999999999898</v>
      </c>
      <c r="B74" s="643" t="s">
        <v>1116</v>
      </c>
      <c r="C74" s="644">
        <f t="shared" si="0"/>
        <v>0</v>
      </c>
      <c r="D74" s="484"/>
      <c r="E74" s="644"/>
      <c r="F74" s="696"/>
      <c r="G74" s="696"/>
      <c r="H74" s="696"/>
    </row>
    <row r="75" spans="1:8">
      <c r="A75" s="642">
        <f t="shared" si="1"/>
        <v>5.4899999999999896</v>
      </c>
      <c r="B75" s="643" t="s">
        <v>1117</v>
      </c>
      <c r="C75" s="644">
        <f>-D75</f>
        <v>0</v>
      </c>
      <c r="D75" s="696">
        <f>C74</f>
        <v>0</v>
      </c>
      <c r="E75" s="644"/>
      <c r="F75" s="644"/>
      <c r="G75" s="644"/>
      <c r="H75" s="644"/>
    </row>
    <row r="76" spans="1:8">
      <c r="A76" s="642">
        <f t="shared" si="1"/>
        <v>5.4999999999999893</v>
      </c>
      <c r="B76" s="643" t="s">
        <v>465</v>
      </c>
      <c r="C76" s="644">
        <f>-D76</f>
        <v>87058980.650000006</v>
      </c>
      <c r="D76" s="484">
        <v>-87058980.650000006</v>
      </c>
      <c r="E76" s="644"/>
      <c r="F76" s="644"/>
      <c r="G76" s="644"/>
      <c r="H76" s="644"/>
    </row>
    <row r="77" spans="1:8">
      <c r="A77" s="642">
        <f t="shared" si="1"/>
        <v>5.5099999999999891</v>
      </c>
      <c r="B77" s="643" t="s">
        <v>466</v>
      </c>
      <c r="C77" s="644">
        <f t="shared" ref="C77:C78" si="2">-D77</f>
        <v>-489015409.54000002</v>
      </c>
      <c r="D77" s="484">
        <v>489015409.54000002</v>
      </c>
      <c r="E77" s="644"/>
      <c r="F77" s="644"/>
      <c r="G77" s="644"/>
      <c r="H77" s="644"/>
    </row>
    <row r="78" spans="1:8">
      <c r="A78" s="642">
        <f t="shared" si="1"/>
        <v>5.5199999999999889</v>
      </c>
      <c r="B78" s="643" t="s">
        <v>1118</v>
      </c>
      <c r="C78" s="644">
        <f t="shared" si="2"/>
        <v>41548923</v>
      </c>
      <c r="D78" s="484">
        <v>-41548923</v>
      </c>
      <c r="E78" s="644"/>
      <c r="F78" s="644"/>
      <c r="G78" s="644"/>
      <c r="H78" s="644"/>
    </row>
    <row r="79" spans="1:8">
      <c r="A79" s="655"/>
      <c r="B79" s="647"/>
      <c r="C79" s="644"/>
      <c r="D79"/>
      <c r="E79" s="644"/>
      <c r="F79" s="644"/>
      <c r="G79" s="644"/>
      <c r="H79" s="644"/>
    </row>
    <row r="80" spans="1:8">
      <c r="A80" s="655"/>
      <c r="B80" s="647"/>
      <c r="C80" s="644"/>
      <c r="D80" s="484"/>
      <c r="E80" s="644"/>
      <c r="F80" s="644"/>
      <c r="G80" s="644"/>
      <c r="H80" s="644"/>
    </row>
    <row r="81" spans="1:10">
      <c r="A81" s="637">
        <v>6</v>
      </c>
      <c r="B81" s="485" t="s">
        <v>467</v>
      </c>
      <c r="C81" s="674">
        <f>SUM(C27:C78)</f>
        <v>1644179697.6500003</v>
      </c>
      <c r="D81" s="674">
        <f>SUM(D27:D78)</f>
        <v>360407505.88999999</v>
      </c>
      <c r="E81" s="674"/>
      <c r="F81" s="674">
        <f>SUM(F27:F78)</f>
        <v>634814055.08999991</v>
      </c>
      <c r="G81" s="674">
        <f>SUM(G27:G78)</f>
        <v>662346544.55000007</v>
      </c>
      <c r="H81" s="674">
        <f>SUM(H27:H78)</f>
        <v>707426603.89999986</v>
      </c>
      <c r="I81" s="406">
        <f>SUM(F81:H81)</f>
        <v>2004587203.5399997</v>
      </c>
      <c r="J81" s="672" t="s">
        <v>1093</v>
      </c>
    </row>
    <row r="82" spans="1:10">
      <c r="A82" s="637">
        <f>A81+1</f>
        <v>7</v>
      </c>
      <c r="B82" s="588" t="s">
        <v>1082</v>
      </c>
      <c r="C82" s="644">
        <f>C67+C66+C34+C33</f>
        <v>17982809.020000003</v>
      </c>
      <c r="D82" s="663">
        <f>SUM(D33,D34,D62,D63)</f>
        <v>0</v>
      </c>
      <c r="E82" s="644"/>
      <c r="F82" s="644">
        <f>F67+F66+F33+F34</f>
        <v>17811198.190000001</v>
      </c>
      <c r="G82" s="644">
        <f>G67+G66+G33+G34</f>
        <v>181.53</v>
      </c>
      <c r="H82" s="644">
        <f>H67+H66+H33+H34</f>
        <v>171429.3</v>
      </c>
    </row>
    <row r="83" spans="1:10">
      <c r="A83" s="655"/>
      <c r="B83" s="647"/>
      <c r="C83" s="644"/>
      <c r="D83" s="644"/>
      <c r="E83" s="644"/>
      <c r="F83" s="644"/>
      <c r="G83" s="644"/>
      <c r="H83" s="644"/>
    </row>
    <row r="84" spans="1:10" ht="9" customHeight="1">
      <c r="A84" s="655"/>
      <c r="B84" s="647"/>
      <c r="C84" s="644"/>
      <c r="D84" s="644"/>
      <c r="E84" s="644"/>
      <c r="F84" s="644"/>
      <c r="G84" s="644"/>
      <c r="H84" s="644"/>
    </row>
    <row r="85" spans="1:10" hidden="1">
      <c r="A85" s="655"/>
      <c r="B85" s="647"/>
      <c r="C85" s="644"/>
      <c r="D85" s="644"/>
      <c r="E85" s="644"/>
      <c r="F85" s="644"/>
      <c r="G85" s="644"/>
      <c r="H85" s="644"/>
    </row>
    <row r="86" spans="1:10" hidden="1">
      <c r="A86" s="655"/>
      <c r="B86" s="647"/>
      <c r="C86" s="644"/>
      <c r="D86" s="644"/>
      <c r="E86" s="644"/>
      <c r="F86" s="644"/>
      <c r="G86" s="644"/>
      <c r="H86" s="644"/>
    </row>
    <row r="87" spans="1:10" hidden="1">
      <c r="A87" s="637"/>
      <c r="B87" s="485"/>
      <c r="C87" s="489"/>
      <c r="D87" s="484"/>
      <c r="E87" s="484"/>
      <c r="F87" s="484"/>
      <c r="G87" s="484"/>
      <c r="H87" s="484"/>
    </row>
    <row r="88" spans="1:10" ht="1.5" customHeight="1">
      <c r="A88" s="637">
        <v>8</v>
      </c>
      <c r="B88" s="412" t="s">
        <v>459</v>
      </c>
      <c r="C88" s="484"/>
      <c r="D88" s="484"/>
      <c r="E88" s="484"/>
      <c r="F88" s="484"/>
      <c r="G88" s="484"/>
      <c r="H88" s="484"/>
    </row>
    <row r="89" spans="1:10">
      <c r="A89" s="637"/>
      <c r="B89" s="182"/>
      <c r="C89" s="484"/>
      <c r="D89" s="484"/>
      <c r="E89" s="484"/>
      <c r="F89" s="484"/>
      <c r="G89" s="484"/>
      <c r="H89" s="484"/>
    </row>
    <row r="90" spans="1:10">
      <c r="A90" s="637"/>
      <c r="B90" s="668" t="s">
        <v>1087</v>
      </c>
      <c r="C90" s="669"/>
      <c r="D90" s="669"/>
      <c r="E90" s="669"/>
      <c r="F90" s="669">
        <f>F30+F31+F44+F45+F46+F47+F71</f>
        <v>-39563.67</v>
      </c>
      <c r="G90" s="669">
        <f>G30+G31+G44+G45+G46+G47+G71</f>
        <v>-1213.0700000000095</v>
      </c>
      <c r="H90" s="669">
        <f>H30+H31+H44+H45+H46+H47+H71</f>
        <v>-1343.22</v>
      </c>
    </row>
    <row r="91" spans="1:10">
      <c r="A91" s="637"/>
      <c r="B91" s="670" t="s">
        <v>1088</v>
      </c>
      <c r="C91" s="671"/>
      <c r="D91" s="671"/>
      <c r="E91" s="671"/>
      <c r="F91" s="671">
        <f>F60+F69+F68</f>
        <v>-2098.0199999999895</v>
      </c>
      <c r="G91" s="671">
        <f>G60+G69+G68</f>
        <v>0</v>
      </c>
      <c r="H91" s="671">
        <f>H60+H69+H68</f>
        <v>0</v>
      </c>
    </row>
    <row r="92" spans="1:10">
      <c r="A92" s="637"/>
      <c r="B92" s="660" t="s">
        <v>282</v>
      </c>
      <c r="C92" s="661"/>
      <c r="D92" s="661"/>
      <c r="E92" s="661"/>
      <c r="F92" s="661">
        <f>F67+F66+F34+F33</f>
        <v>17811198.190000001</v>
      </c>
      <c r="G92" s="661">
        <f>G67+G66+G34+G33</f>
        <v>181.53</v>
      </c>
      <c r="H92" s="661">
        <f>H67+H66+H34+H33</f>
        <v>171429.3</v>
      </c>
    </row>
    <row r="93" spans="1:10" ht="13.5" thickBot="1">
      <c r="A93" s="637"/>
      <c r="B93" s="588" t="s">
        <v>1089</v>
      </c>
      <c r="C93" s="663"/>
      <c r="D93" s="663"/>
      <c r="E93" s="663"/>
      <c r="F93" s="663">
        <f>F27+F28+F29+F32+F35+F36+F37+F38+F39+F40+F41+F42+F43+F48+F49+F50+F51+F52+F53+F54+F55+F56+F57+F58+F59+F61+F62+F63+F64+F65+F72+F73+F74</f>
        <v>617044518.58999991</v>
      </c>
      <c r="G93" s="663">
        <f t="shared" ref="G93:H93" si="3">G27+G28+G29+G32+G35+G36+G37+G38+G39+G40+G41+G42+G43+G48+G49+G50+G51+G52+G53+G54+G55+G56+G57+G58+G59+G61+G62+G63+G64+G65+G72+G73+G74</f>
        <v>662347576.09000015</v>
      </c>
      <c r="H93" s="663">
        <f t="shared" si="3"/>
        <v>707256517.81999993</v>
      </c>
    </row>
    <row r="94" spans="1:10" ht="13.5" thickBot="1">
      <c r="A94" s="637"/>
      <c r="B94" s="664" t="s">
        <v>1090</v>
      </c>
      <c r="C94" s="665"/>
      <c r="D94" s="665"/>
      <c r="E94" s="665"/>
      <c r="F94" s="665">
        <f>F92+G81+H81</f>
        <v>1387584346.6399999</v>
      </c>
      <c r="G94" s="665"/>
      <c r="H94" s="666"/>
    </row>
    <row r="95" spans="1:10">
      <c r="A95" s="637"/>
      <c r="B95" s="667"/>
      <c r="C95" s="663"/>
      <c r="D95" s="663"/>
      <c r="E95" s="663"/>
      <c r="F95" s="663"/>
      <c r="G95" s="663"/>
      <c r="H95" s="663"/>
    </row>
    <row r="96" spans="1:10">
      <c r="A96" s="637"/>
      <c r="B96" s="667"/>
      <c r="C96" s="663"/>
      <c r="D96" s="663"/>
      <c r="E96" s="663"/>
      <c r="F96" s="663"/>
      <c r="G96" s="663"/>
      <c r="H96" s="663"/>
    </row>
    <row r="97" spans="1:8">
      <c r="A97" s="637"/>
      <c r="B97" s="18" t="s">
        <v>447</v>
      </c>
      <c r="C97" s="18" t="s">
        <v>448</v>
      </c>
      <c r="D97" s="18" t="s">
        <v>449</v>
      </c>
      <c r="E97" s="480"/>
      <c r="F97" s="18" t="s">
        <v>1058</v>
      </c>
      <c r="G97" s="18" t="s">
        <v>450</v>
      </c>
      <c r="H97" s="18" t="s">
        <v>1059</v>
      </c>
    </row>
    <row r="98" spans="1:8">
      <c r="A98" s="637"/>
      <c r="B98" s="480"/>
      <c r="C98" s="480"/>
      <c r="D98" s="480"/>
      <c r="E98" s="480"/>
      <c r="F98" s="480"/>
      <c r="G98" s="480"/>
      <c r="H98" s="480"/>
    </row>
    <row r="99" spans="1:8">
      <c r="A99" s="637"/>
      <c r="B99" s="480"/>
      <c r="C99" s="481"/>
      <c r="D99" s="641" t="s">
        <v>1060</v>
      </c>
      <c r="E99" s="480"/>
      <c r="F99" s="494" t="s">
        <v>1183</v>
      </c>
      <c r="G99" s="481"/>
      <c r="H99" s="481"/>
    </row>
    <row r="100" spans="1:8">
      <c r="A100" s="637"/>
      <c r="B100" s="480"/>
      <c r="C100" s="483"/>
      <c r="D100" s="480"/>
      <c r="E100" s="480"/>
      <c r="F100" s="483"/>
      <c r="G100" s="483"/>
      <c r="H100" s="483"/>
    </row>
    <row r="101" spans="1:8">
      <c r="A101" s="637"/>
      <c r="B101" s="480"/>
      <c r="C101" s="482" t="s">
        <v>451</v>
      </c>
      <c r="D101" s="482" t="s">
        <v>451</v>
      </c>
      <c r="E101" s="480"/>
      <c r="F101" s="480"/>
      <c r="G101" s="480"/>
      <c r="H101" s="480"/>
    </row>
    <row r="102" spans="1:8">
      <c r="A102" s="637"/>
      <c r="B102" s="18" t="s">
        <v>452</v>
      </c>
      <c r="C102" s="638">
        <v>45291</v>
      </c>
      <c r="D102" s="638">
        <v>45291</v>
      </c>
      <c r="E102" s="480"/>
      <c r="F102" s="18" t="s">
        <v>453</v>
      </c>
      <c r="G102" s="18" t="s">
        <v>366</v>
      </c>
      <c r="H102" s="18" t="s">
        <v>367</v>
      </c>
    </row>
    <row r="103" spans="1:8">
      <c r="A103" s="637"/>
      <c r="B103" s="667"/>
      <c r="C103" s="663"/>
      <c r="D103" s="663"/>
      <c r="E103" s="663"/>
      <c r="F103" s="663"/>
      <c r="G103" s="663"/>
      <c r="H103" s="663"/>
    </row>
    <row r="104" spans="1:8">
      <c r="A104" s="642">
        <v>9.01</v>
      </c>
      <c r="B104" s="643" t="s">
        <v>853</v>
      </c>
      <c r="C104" s="644">
        <f t="shared" ref="C104:C168" si="4">SUM(F104:H104)</f>
        <v>43301.460000000006</v>
      </c>
      <c r="D104" s="644"/>
      <c r="E104" s="644"/>
      <c r="F104" s="643">
        <v>43301.460000000006</v>
      </c>
      <c r="G104" s="643">
        <v>0</v>
      </c>
      <c r="H104" s="643">
        <v>0</v>
      </c>
    </row>
    <row r="105" spans="1:8">
      <c r="A105" s="642">
        <f>A104+0.01</f>
        <v>9.02</v>
      </c>
      <c r="B105" s="656" t="s">
        <v>17</v>
      </c>
      <c r="C105" s="657">
        <f t="shared" si="4"/>
        <v>37053865.420000002</v>
      </c>
      <c r="D105" s="657"/>
      <c r="E105" s="657"/>
      <c r="F105" s="656">
        <v>37053865.420000002</v>
      </c>
      <c r="G105" s="656">
        <v>0</v>
      </c>
      <c r="H105" s="656">
        <v>0</v>
      </c>
    </row>
    <row r="106" spans="1:8">
      <c r="A106" s="642">
        <f t="shared" ref="A106:A169" si="5">A105+0.01</f>
        <v>9.0299999999999994</v>
      </c>
      <c r="B106" s="656" t="s">
        <v>18</v>
      </c>
      <c r="C106" s="657">
        <f t="shared" si="4"/>
        <v>53265765.210000001</v>
      </c>
      <c r="D106" s="657"/>
      <c r="E106" s="657"/>
      <c r="F106" s="656">
        <v>53265765.210000001</v>
      </c>
      <c r="G106" s="656">
        <v>0</v>
      </c>
      <c r="H106" s="656">
        <v>0</v>
      </c>
    </row>
    <row r="107" spans="1:8">
      <c r="A107" s="642">
        <f t="shared" si="5"/>
        <v>9.0399999999999991</v>
      </c>
      <c r="B107" s="656" t="s">
        <v>854</v>
      </c>
      <c r="C107" s="657">
        <f t="shared" si="4"/>
        <v>0</v>
      </c>
      <c r="D107" s="657"/>
      <c r="E107" s="657"/>
      <c r="F107" s="656">
        <v>0</v>
      </c>
      <c r="G107" s="656">
        <v>0</v>
      </c>
      <c r="H107" s="656">
        <v>0</v>
      </c>
    </row>
    <row r="108" spans="1:8">
      <c r="A108" s="642">
        <f t="shared" si="5"/>
        <v>9.0499999999999989</v>
      </c>
      <c r="B108" s="656" t="s">
        <v>1014</v>
      </c>
      <c r="C108" s="657">
        <f t="shared" si="4"/>
        <v>159734.81</v>
      </c>
      <c r="D108" s="657"/>
      <c r="E108" s="657"/>
      <c r="F108" s="656">
        <v>159734.81</v>
      </c>
      <c r="G108" s="656">
        <v>0</v>
      </c>
      <c r="H108" s="656">
        <v>0</v>
      </c>
    </row>
    <row r="109" spans="1:8">
      <c r="A109" s="642">
        <f t="shared" si="5"/>
        <v>9.0599999999999987</v>
      </c>
      <c r="B109" s="656" t="s">
        <v>19</v>
      </c>
      <c r="C109" s="657">
        <f t="shared" si="4"/>
        <v>5896727.4500000002</v>
      </c>
      <c r="D109" s="657"/>
      <c r="E109" s="657"/>
      <c r="F109" s="656">
        <v>1756245.05</v>
      </c>
      <c r="G109" s="656">
        <v>1497477.81</v>
      </c>
      <c r="H109" s="656">
        <v>2643004.59</v>
      </c>
    </row>
    <row r="110" spans="1:8">
      <c r="A110" s="642">
        <f t="shared" si="5"/>
        <v>9.0699999999999985</v>
      </c>
      <c r="B110" s="643" t="s">
        <v>855</v>
      </c>
      <c r="C110" s="644">
        <f t="shared" si="4"/>
        <v>0.03</v>
      </c>
      <c r="D110" s="644"/>
      <c r="E110" s="644"/>
      <c r="F110" s="643">
        <v>0.03</v>
      </c>
      <c r="G110" s="643">
        <v>0</v>
      </c>
      <c r="H110" s="643">
        <v>0</v>
      </c>
    </row>
    <row r="111" spans="1:8">
      <c r="A111" s="642">
        <f t="shared" si="5"/>
        <v>9.0799999999999983</v>
      </c>
      <c r="B111" s="643" t="s">
        <v>856</v>
      </c>
      <c r="C111" s="644">
        <f t="shared" si="4"/>
        <v>28352775.219999999</v>
      </c>
      <c r="D111" s="644"/>
      <c r="E111" s="644"/>
      <c r="F111" s="643">
        <v>28352775.219999999</v>
      </c>
      <c r="G111" s="643">
        <v>0</v>
      </c>
      <c r="H111" s="643">
        <v>0</v>
      </c>
    </row>
    <row r="112" spans="1:8">
      <c r="A112" s="642">
        <f t="shared" si="5"/>
        <v>9.0899999999999981</v>
      </c>
      <c r="B112" s="643" t="s">
        <v>71</v>
      </c>
      <c r="C112" s="644">
        <f t="shared" si="4"/>
        <v>-7468854.7599999998</v>
      </c>
      <c r="D112" s="644"/>
      <c r="E112" s="644"/>
      <c r="F112" s="643">
        <v>-7468854.7599999998</v>
      </c>
      <c r="G112" s="643">
        <v>0</v>
      </c>
      <c r="H112" s="643">
        <v>0</v>
      </c>
    </row>
    <row r="113" spans="1:8">
      <c r="A113" s="642">
        <f t="shared" si="5"/>
        <v>9.0999999999999979</v>
      </c>
      <c r="B113" s="643" t="s">
        <v>878</v>
      </c>
      <c r="C113" s="644">
        <f t="shared" si="4"/>
        <v>-956939.13</v>
      </c>
      <c r="D113" s="644"/>
      <c r="E113" s="644"/>
      <c r="F113" s="643">
        <v>-956939.13</v>
      </c>
      <c r="G113" s="643">
        <v>0</v>
      </c>
      <c r="H113" s="643">
        <v>0</v>
      </c>
    </row>
    <row r="114" spans="1:8">
      <c r="A114" s="642">
        <f t="shared" si="5"/>
        <v>9.1099999999999977</v>
      </c>
      <c r="B114" s="658" t="s">
        <v>586</v>
      </c>
      <c r="C114" s="659">
        <f t="shared" si="4"/>
        <v>26552894.48</v>
      </c>
      <c r="D114" s="659"/>
      <c r="E114" s="659"/>
      <c r="F114" s="658">
        <v>11957011.810000001</v>
      </c>
      <c r="G114" s="658">
        <v>991195.52</v>
      </c>
      <c r="H114" s="658">
        <v>13604687.15</v>
      </c>
    </row>
    <row r="115" spans="1:8">
      <c r="A115" s="642">
        <f t="shared" si="5"/>
        <v>9.1199999999999974</v>
      </c>
      <c r="B115" s="658" t="s">
        <v>20</v>
      </c>
      <c r="C115" s="659">
        <f t="shared" si="4"/>
        <v>-21564260.759999998</v>
      </c>
      <c r="D115" s="659"/>
      <c r="E115" s="659"/>
      <c r="F115" s="658">
        <v>-5414531.8499999996</v>
      </c>
      <c r="G115" s="658">
        <v>-2500908.27</v>
      </c>
      <c r="H115" s="658">
        <v>-13648820.640000001</v>
      </c>
    </row>
    <row r="116" spans="1:8">
      <c r="A116" s="642">
        <f t="shared" si="5"/>
        <v>9.1299999999999972</v>
      </c>
      <c r="B116" s="643" t="s">
        <v>879</v>
      </c>
      <c r="C116" s="644">
        <f t="shared" si="4"/>
        <v>-0.28000000000000003</v>
      </c>
      <c r="D116" s="644"/>
      <c r="E116" s="644"/>
      <c r="F116" s="643">
        <v>0</v>
      </c>
      <c r="G116" s="643">
        <v>-0.28000000000000003</v>
      </c>
      <c r="H116" s="643">
        <v>0</v>
      </c>
    </row>
    <row r="117" spans="1:8">
      <c r="A117" s="642">
        <f t="shared" si="5"/>
        <v>9.139999999999997</v>
      </c>
      <c r="B117" s="643" t="s">
        <v>880</v>
      </c>
      <c r="C117" s="644">
        <f t="shared" si="4"/>
        <v>-0.21</v>
      </c>
      <c r="D117" s="644"/>
      <c r="E117" s="644"/>
      <c r="F117" s="643">
        <v>-0.21</v>
      </c>
      <c r="G117" s="643">
        <v>0</v>
      </c>
      <c r="H117" s="643">
        <v>0</v>
      </c>
    </row>
    <row r="118" spans="1:8">
      <c r="A118" s="642">
        <f t="shared" si="5"/>
        <v>9.1499999999999968</v>
      </c>
      <c r="B118" s="643" t="s">
        <v>21</v>
      </c>
      <c r="C118" s="644">
        <f t="shared" si="4"/>
        <v>-0.38</v>
      </c>
      <c r="D118" s="644"/>
      <c r="E118" s="644"/>
      <c r="F118" s="643">
        <v>0</v>
      </c>
      <c r="G118" s="643">
        <v>0</v>
      </c>
      <c r="H118" s="643">
        <v>-0.38</v>
      </c>
    </row>
    <row r="119" spans="1:8">
      <c r="A119" s="642">
        <f t="shared" si="5"/>
        <v>9.1599999999999966</v>
      </c>
      <c r="B119" s="643" t="s">
        <v>22</v>
      </c>
      <c r="C119" s="644">
        <f t="shared" si="4"/>
        <v>7618.62</v>
      </c>
      <c r="D119" s="644"/>
      <c r="E119" s="644"/>
      <c r="F119" s="643">
        <v>0</v>
      </c>
      <c r="G119" s="643">
        <v>6705.09</v>
      </c>
      <c r="H119" s="643">
        <v>913.53</v>
      </c>
    </row>
    <row r="120" spans="1:8">
      <c r="A120" s="642">
        <f t="shared" si="5"/>
        <v>9.1699999999999964</v>
      </c>
      <c r="B120" s="643" t="s">
        <v>881</v>
      </c>
      <c r="C120" s="644">
        <f t="shared" si="4"/>
        <v>457686.86</v>
      </c>
      <c r="D120" s="644"/>
      <c r="E120" s="644"/>
      <c r="F120" s="643">
        <v>457931.05</v>
      </c>
      <c r="G120" s="643">
        <v>-244.19</v>
      </c>
      <c r="H120" s="643">
        <v>0</v>
      </c>
    </row>
    <row r="121" spans="1:8">
      <c r="A121" s="642">
        <f t="shared" si="5"/>
        <v>9.1799999999999962</v>
      </c>
      <c r="B121" s="643" t="s">
        <v>927</v>
      </c>
      <c r="C121" s="644">
        <f t="shared" si="4"/>
        <v>-7.0000000000000007E-2</v>
      </c>
      <c r="D121" s="644"/>
      <c r="E121" s="644"/>
      <c r="F121" s="643">
        <v>-7.0000000000000007E-2</v>
      </c>
      <c r="G121" s="643">
        <v>0</v>
      </c>
      <c r="H121" s="643">
        <v>0</v>
      </c>
    </row>
    <row r="122" spans="1:8">
      <c r="A122" s="642">
        <f t="shared" si="5"/>
        <v>9.1899999999999959</v>
      </c>
      <c r="B122" s="643" t="s">
        <v>1119</v>
      </c>
      <c r="C122" s="644">
        <f t="shared" si="4"/>
        <v>653512.78</v>
      </c>
      <c r="D122" s="644"/>
      <c r="E122" s="644"/>
      <c r="F122" s="643">
        <v>653512.78</v>
      </c>
      <c r="G122" s="643">
        <v>0</v>
      </c>
      <c r="H122" s="643">
        <v>0</v>
      </c>
    </row>
    <row r="123" spans="1:8">
      <c r="A123" s="642">
        <f t="shared" si="5"/>
        <v>9.1999999999999957</v>
      </c>
      <c r="B123" s="643" t="s">
        <v>1101</v>
      </c>
      <c r="C123" s="644">
        <f t="shared" si="4"/>
        <v>1437460.9</v>
      </c>
      <c r="D123" s="644"/>
      <c r="E123" s="644"/>
      <c r="F123" s="643">
        <v>299617.41000000003</v>
      </c>
      <c r="G123" s="643">
        <v>0</v>
      </c>
      <c r="H123" s="643">
        <v>1137843.49</v>
      </c>
    </row>
    <row r="124" spans="1:8">
      <c r="A124" s="642">
        <f t="shared" si="5"/>
        <v>9.2099999999999955</v>
      </c>
      <c r="B124" s="643" t="s">
        <v>23</v>
      </c>
      <c r="C124" s="644">
        <f t="shared" si="4"/>
        <v>19224116.009999998</v>
      </c>
      <c r="D124" s="644"/>
      <c r="E124" s="644"/>
      <c r="F124" s="643">
        <v>0</v>
      </c>
      <c r="G124" s="643">
        <v>312117.11</v>
      </c>
      <c r="H124" s="643">
        <v>18911998.899999999</v>
      </c>
    </row>
    <row r="125" spans="1:8">
      <c r="A125" s="642">
        <f t="shared" si="5"/>
        <v>9.2199999999999953</v>
      </c>
      <c r="B125" s="643" t="s">
        <v>882</v>
      </c>
      <c r="C125" s="644">
        <f t="shared" si="4"/>
        <v>114762.16</v>
      </c>
      <c r="D125" s="644"/>
      <c r="E125" s="644"/>
      <c r="F125" s="643">
        <v>55539.380000000005</v>
      </c>
      <c r="G125" s="643">
        <v>0</v>
      </c>
      <c r="H125" s="643">
        <v>59222.78</v>
      </c>
    </row>
    <row r="126" spans="1:8">
      <c r="A126" s="642">
        <f t="shared" si="5"/>
        <v>9.2299999999999951</v>
      </c>
      <c r="B126" s="643" t="s">
        <v>883</v>
      </c>
      <c r="C126" s="644">
        <f t="shared" si="4"/>
        <v>0.36</v>
      </c>
      <c r="D126" s="644"/>
      <c r="E126" s="644"/>
      <c r="F126" s="643">
        <v>0</v>
      </c>
      <c r="G126" s="643">
        <v>0</v>
      </c>
      <c r="H126" s="643">
        <v>0.36</v>
      </c>
    </row>
    <row r="127" spans="1:8">
      <c r="A127" s="642">
        <f t="shared" si="5"/>
        <v>9.2399999999999949</v>
      </c>
      <c r="B127" s="643" t="s">
        <v>857</v>
      </c>
      <c r="C127" s="644">
        <f t="shared" si="4"/>
        <v>92955.6</v>
      </c>
      <c r="D127" s="644"/>
      <c r="E127" s="644"/>
      <c r="F127" s="643">
        <v>92955.6</v>
      </c>
      <c r="G127" s="643">
        <v>0</v>
      </c>
      <c r="H127" s="643">
        <v>0</v>
      </c>
    </row>
    <row r="128" spans="1:8">
      <c r="A128" s="642">
        <f t="shared" si="5"/>
        <v>9.2499999999999947</v>
      </c>
      <c r="B128" s="643" t="s">
        <v>884</v>
      </c>
      <c r="C128" s="644">
        <f t="shared" si="4"/>
        <v>2556882.56</v>
      </c>
      <c r="D128" s="644"/>
      <c r="E128" s="644"/>
      <c r="F128" s="643">
        <v>2556882.56</v>
      </c>
      <c r="G128" s="643">
        <v>0</v>
      </c>
      <c r="H128" s="643">
        <v>0</v>
      </c>
    </row>
    <row r="129" spans="1:8">
      <c r="A129" s="642">
        <f t="shared" si="5"/>
        <v>9.2599999999999945</v>
      </c>
      <c r="B129" s="677" t="s">
        <v>885</v>
      </c>
      <c r="C129" s="484">
        <f t="shared" si="4"/>
        <v>-225454.71</v>
      </c>
      <c r="D129" s="484"/>
      <c r="E129" s="484"/>
      <c r="F129" s="677">
        <v>-225454.71</v>
      </c>
      <c r="G129" s="677">
        <v>0</v>
      </c>
      <c r="H129" s="677">
        <v>0</v>
      </c>
    </row>
    <row r="130" spans="1:8">
      <c r="A130" s="642">
        <f t="shared" si="5"/>
        <v>9.2699999999999942</v>
      </c>
      <c r="B130" s="677" t="s">
        <v>1158</v>
      </c>
      <c r="C130" s="484">
        <f t="shared" si="4"/>
        <v>-70422.87</v>
      </c>
      <c r="D130" s="484"/>
      <c r="E130" s="484"/>
      <c r="F130" s="677">
        <v>64062.810000000005</v>
      </c>
      <c r="G130" s="677">
        <v>-134485.68</v>
      </c>
      <c r="H130" s="677">
        <v>0</v>
      </c>
    </row>
    <row r="131" spans="1:8">
      <c r="A131" s="642">
        <f t="shared" si="5"/>
        <v>9.279999999999994</v>
      </c>
      <c r="B131" s="656" t="s">
        <v>34</v>
      </c>
      <c r="C131" s="657">
        <f t="shared" si="4"/>
        <v>0</v>
      </c>
      <c r="D131" s="657"/>
      <c r="E131" s="657"/>
      <c r="F131" s="656">
        <v>0</v>
      </c>
      <c r="G131" s="656">
        <v>0</v>
      </c>
      <c r="H131" s="656">
        <v>0</v>
      </c>
    </row>
    <row r="132" spans="1:8">
      <c r="A132" s="642">
        <f t="shared" si="5"/>
        <v>9.2899999999999938</v>
      </c>
      <c r="B132" s="656" t="s">
        <v>24</v>
      </c>
      <c r="C132" s="657">
        <f t="shared" si="4"/>
        <v>3065.11</v>
      </c>
      <c r="D132" s="657"/>
      <c r="E132" s="657"/>
      <c r="F132" s="656">
        <v>0</v>
      </c>
      <c r="G132" s="656">
        <v>0</v>
      </c>
      <c r="H132" s="656">
        <v>3065.11</v>
      </c>
    </row>
    <row r="133" spans="1:8">
      <c r="A133" s="642">
        <f t="shared" si="5"/>
        <v>9.2999999999999936</v>
      </c>
      <c r="B133" s="643" t="s">
        <v>25</v>
      </c>
      <c r="C133" s="644">
        <f t="shared" si="4"/>
        <v>-0.5</v>
      </c>
      <c r="D133" s="644"/>
      <c r="E133" s="644"/>
      <c r="F133" s="643">
        <v>0</v>
      </c>
      <c r="G133" s="643">
        <v>0</v>
      </c>
      <c r="H133" s="643">
        <v>-0.5</v>
      </c>
    </row>
    <row r="134" spans="1:8">
      <c r="A134" s="642">
        <f t="shared" si="5"/>
        <v>9.3099999999999934</v>
      </c>
      <c r="B134" s="639" t="s">
        <v>886</v>
      </c>
      <c r="C134" s="488">
        <f t="shared" si="4"/>
        <v>0.11</v>
      </c>
      <c r="D134" s="488"/>
      <c r="E134" s="488"/>
      <c r="F134" s="639">
        <v>0.11</v>
      </c>
      <c r="G134" s="639">
        <v>0</v>
      </c>
      <c r="H134" s="639">
        <v>0</v>
      </c>
    </row>
    <row r="135" spans="1:8">
      <c r="A135" s="642">
        <f t="shared" si="5"/>
        <v>9.3199999999999932</v>
      </c>
      <c r="B135" s="658" t="s">
        <v>887</v>
      </c>
      <c r="C135" s="659">
        <f t="shared" si="4"/>
        <v>21564260.759999998</v>
      </c>
      <c r="D135" s="659"/>
      <c r="E135" s="659"/>
      <c r="F135" s="658">
        <v>5414531.8499999996</v>
      </c>
      <c r="G135" s="658">
        <v>2500908.27</v>
      </c>
      <c r="H135" s="658">
        <v>13648820.640000001</v>
      </c>
    </row>
    <row r="136" spans="1:8">
      <c r="A136" s="642">
        <f t="shared" si="5"/>
        <v>9.329999999999993</v>
      </c>
      <c r="B136" s="658" t="s">
        <v>888</v>
      </c>
      <c r="C136" s="659">
        <f t="shared" si="4"/>
        <v>-26848.29</v>
      </c>
      <c r="D136" s="659"/>
      <c r="E136" s="659"/>
      <c r="F136" s="658">
        <v>9226.14</v>
      </c>
      <c r="G136" s="658">
        <v>0</v>
      </c>
      <c r="H136" s="658">
        <v>-36074.43</v>
      </c>
    </row>
    <row r="137" spans="1:8">
      <c r="A137" s="642">
        <f t="shared" si="5"/>
        <v>9.3399999999999928</v>
      </c>
      <c r="B137" s="658" t="s">
        <v>889</v>
      </c>
      <c r="C137" s="659">
        <f t="shared" si="4"/>
        <v>2779721.73</v>
      </c>
      <c r="D137" s="659"/>
      <c r="E137" s="659"/>
      <c r="F137" s="658">
        <v>1012627.73</v>
      </c>
      <c r="G137" s="658">
        <v>474923.57</v>
      </c>
      <c r="H137" s="658">
        <v>1292170.43</v>
      </c>
    </row>
    <row r="138" spans="1:8">
      <c r="A138" s="642">
        <f t="shared" si="5"/>
        <v>9.3499999999999925</v>
      </c>
      <c r="B138" s="643" t="s">
        <v>890</v>
      </c>
      <c r="C138" s="644">
        <f t="shared" si="4"/>
        <v>5355055.66</v>
      </c>
      <c r="D138" s="644"/>
      <c r="E138" s="644"/>
      <c r="F138" s="643">
        <v>0</v>
      </c>
      <c r="G138" s="643">
        <v>5355055.66</v>
      </c>
      <c r="H138" s="643">
        <v>0</v>
      </c>
    </row>
    <row r="139" spans="1:8">
      <c r="A139" s="642">
        <f t="shared" si="5"/>
        <v>9.3599999999999923</v>
      </c>
      <c r="B139" s="643" t="s">
        <v>891</v>
      </c>
      <c r="C139" s="644">
        <f t="shared" si="4"/>
        <v>0.19</v>
      </c>
      <c r="D139" s="644"/>
      <c r="E139" s="644"/>
      <c r="F139" s="643">
        <v>0.19</v>
      </c>
      <c r="G139" s="643">
        <v>0</v>
      </c>
      <c r="H139" s="643">
        <v>0</v>
      </c>
    </row>
    <row r="140" spans="1:8">
      <c r="A140" s="642">
        <f t="shared" si="5"/>
        <v>9.3699999999999921</v>
      </c>
      <c r="B140" s="656" t="s">
        <v>892</v>
      </c>
      <c r="C140" s="657">
        <f t="shared" si="4"/>
        <v>0</v>
      </c>
      <c r="D140" s="657"/>
      <c r="E140" s="657"/>
      <c r="F140" s="656">
        <v>0</v>
      </c>
      <c r="G140" s="656">
        <v>0</v>
      </c>
      <c r="H140" s="656">
        <v>0</v>
      </c>
    </row>
    <row r="141" spans="1:8">
      <c r="A141" s="642">
        <f t="shared" si="5"/>
        <v>9.3799999999999919</v>
      </c>
      <c r="B141" s="656" t="s">
        <v>893</v>
      </c>
      <c r="C141" s="657">
        <f t="shared" si="4"/>
        <v>0</v>
      </c>
      <c r="D141" s="657"/>
      <c r="E141" s="657"/>
      <c r="F141" s="656">
        <v>0</v>
      </c>
      <c r="G141" s="656">
        <v>0</v>
      </c>
      <c r="H141" s="656">
        <v>0</v>
      </c>
    </row>
    <row r="142" spans="1:8">
      <c r="A142" s="642">
        <f t="shared" si="5"/>
        <v>9.3899999999999917</v>
      </c>
      <c r="B142" s="643" t="s">
        <v>26</v>
      </c>
      <c r="C142" s="644">
        <f t="shared" si="4"/>
        <v>0</v>
      </c>
      <c r="D142" s="644"/>
      <c r="E142" s="644"/>
      <c r="F142" s="643">
        <v>0</v>
      </c>
      <c r="G142" s="643">
        <v>0</v>
      </c>
      <c r="H142" s="643">
        <v>0</v>
      </c>
    </row>
    <row r="143" spans="1:8">
      <c r="A143" s="642">
        <f t="shared" si="5"/>
        <v>9.3999999999999915</v>
      </c>
      <c r="B143" s="643" t="s">
        <v>858</v>
      </c>
      <c r="C143" s="644">
        <f t="shared" si="4"/>
        <v>0</v>
      </c>
      <c r="D143" s="644"/>
      <c r="E143" s="644"/>
      <c r="F143" s="643">
        <v>0</v>
      </c>
      <c r="G143" s="643">
        <v>0</v>
      </c>
      <c r="H143" s="643">
        <v>0</v>
      </c>
    </row>
    <row r="144" spans="1:8">
      <c r="A144" s="642">
        <f t="shared" si="5"/>
        <v>9.4099999999999913</v>
      </c>
      <c r="B144" s="643" t="s">
        <v>27</v>
      </c>
      <c r="C144" s="644">
        <f t="shared" si="4"/>
        <v>0</v>
      </c>
      <c r="D144" s="644"/>
      <c r="E144" s="644"/>
      <c r="F144" s="643">
        <v>0</v>
      </c>
      <c r="G144" s="643">
        <v>0</v>
      </c>
      <c r="H144" s="643">
        <v>0</v>
      </c>
    </row>
    <row r="145" spans="1:8">
      <c r="A145" s="642">
        <f t="shared" si="5"/>
        <v>9.419999999999991</v>
      </c>
      <c r="B145" s="643" t="s">
        <v>28</v>
      </c>
      <c r="C145" s="644">
        <f t="shared" si="4"/>
        <v>0</v>
      </c>
      <c r="D145" s="644"/>
      <c r="E145" s="644"/>
      <c r="F145" s="643">
        <v>0</v>
      </c>
      <c r="G145" s="643">
        <v>0</v>
      </c>
      <c r="H145" s="643">
        <v>0</v>
      </c>
    </row>
    <row r="146" spans="1:8">
      <c r="A146" s="642">
        <f t="shared" si="5"/>
        <v>9.4299999999999908</v>
      </c>
      <c r="B146" s="643" t="s">
        <v>585</v>
      </c>
      <c r="C146" s="644">
        <f t="shared" si="4"/>
        <v>0.24</v>
      </c>
      <c r="D146" s="644"/>
      <c r="E146" s="644"/>
      <c r="F146" s="643">
        <v>0.24</v>
      </c>
      <c r="G146" s="643">
        <v>0</v>
      </c>
      <c r="H146" s="643">
        <v>0</v>
      </c>
    </row>
    <row r="147" spans="1:8">
      <c r="A147" s="642">
        <f t="shared" si="5"/>
        <v>9.4399999999999906</v>
      </c>
      <c r="B147" s="643" t="s">
        <v>859</v>
      </c>
      <c r="C147" s="644">
        <f t="shared" si="4"/>
        <v>242028.54</v>
      </c>
      <c r="D147" s="644"/>
      <c r="E147" s="644"/>
      <c r="F147" s="643">
        <v>0</v>
      </c>
      <c r="G147" s="643">
        <v>0</v>
      </c>
      <c r="H147" s="643">
        <v>242028.54</v>
      </c>
    </row>
    <row r="148" spans="1:8">
      <c r="A148" s="642">
        <f t="shared" si="5"/>
        <v>9.4499999999999904</v>
      </c>
      <c r="B148" s="643" t="s">
        <v>1102</v>
      </c>
      <c r="C148" s="644">
        <f t="shared" si="4"/>
        <v>2318407.23</v>
      </c>
      <c r="D148" s="644"/>
      <c r="E148" s="644"/>
      <c r="F148" s="643">
        <v>0</v>
      </c>
      <c r="G148" s="643">
        <v>0</v>
      </c>
      <c r="H148" s="643">
        <v>2318407.23</v>
      </c>
    </row>
    <row r="149" spans="1:8">
      <c r="A149" s="642">
        <f t="shared" si="5"/>
        <v>9.4599999999999902</v>
      </c>
      <c r="B149" s="643" t="s">
        <v>860</v>
      </c>
      <c r="C149" s="644">
        <f t="shared" si="4"/>
        <v>2291077.64</v>
      </c>
      <c r="D149" s="644"/>
      <c r="E149" s="644"/>
      <c r="F149" s="643">
        <v>2291077.64</v>
      </c>
      <c r="G149" s="643">
        <v>0</v>
      </c>
      <c r="H149" s="643">
        <v>0</v>
      </c>
    </row>
    <row r="150" spans="1:8">
      <c r="A150" s="642">
        <f t="shared" si="5"/>
        <v>9.46999999999999</v>
      </c>
      <c r="B150" s="643" t="s">
        <v>894</v>
      </c>
      <c r="C150" s="644">
        <f t="shared" si="4"/>
        <v>2715353.9699999997</v>
      </c>
      <c r="D150" s="644"/>
      <c r="E150" s="644"/>
      <c r="F150" s="643">
        <v>0</v>
      </c>
      <c r="G150" s="643">
        <v>0</v>
      </c>
      <c r="H150" s="643">
        <v>2715353.9699999997</v>
      </c>
    </row>
    <row r="151" spans="1:8">
      <c r="A151" s="642">
        <f t="shared" si="5"/>
        <v>9.4799999999999898</v>
      </c>
      <c r="B151" s="643" t="s">
        <v>895</v>
      </c>
      <c r="C151" s="644">
        <f t="shared" si="4"/>
        <v>0</v>
      </c>
      <c r="D151" s="644"/>
      <c r="E151" s="644"/>
      <c r="F151" s="643">
        <v>0</v>
      </c>
      <c r="G151" s="643">
        <v>0</v>
      </c>
      <c r="H151" s="643">
        <v>0</v>
      </c>
    </row>
    <row r="152" spans="1:8">
      <c r="A152" s="642">
        <f t="shared" si="5"/>
        <v>9.4899999999999896</v>
      </c>
      <c r="B152" s="643" t="s">
        <v>956</v>
      </c>
      <c r="C152" s="644">
        <f t="shared" si="4"/>
        <v>0</v>
      </c>
      <c r="D152" s="644"/>
      <c r="E152" s="644"/>
      <c r="F152" s="643">
        <v>0</v>
      </c>
      <c r="G152" s="643">
        <v>0</v>
      </c>
      <c r="H152" s="643">
        <v>0</v>
      </c>
    </row>
    <row r="153" spans="1:8">
      <c r="A153" s="642">
        <f t="shared" si="5"/>
        <v>9.4999999999999893</v>
      </c>
      <c r="B153" s="643" t="s">
        <v>957</v>
      </c>
      <c r="C153" s="644">
        <f t="shared" si="4"/>
        <v>4319.93</v>
      </c>
      <c r="D153" s="644"/>
      <c r="E153" s="644"/>
      <c r="F153" s="643">
        <v>4319.93</v>
      </c>
      <c r="G153" s="643">
        <v>0</v>
      </c>
      <c r="H153" s="643">
        <v>0</v>
      </c>
    </row>
    <row r="154" spans="1:8">
      <c r="A154" s="642">
        <f t="shared" si="5"/>
        <v>9.5099999999999891</v>
      </c>
      <c r="B154" s="643" t="s">
        <v>1120</v>
      </c>
      <c r="C154" s="644">
        <f t="shared" si="4"/>
        <v>183493.59</v>
      </c>
      <c r="D154" s="644"/>
      <c r="E154" s="644"/>
      <c r="F154" s="643">
        <v>-152914.01999999999</v>
      </c>
      <c r="G154" s="643">
        <v>336407.61</v>
      </c>
      <c r="H154" s="643">
        <v>0</v>
      </c>
    </row>
    <row r="155" spans="1:8">
      <c r="A155" s="642">
        <f t="shared" si="5"/>
        <v>9.5199999999999889</v>
      </c>
      <c r="B155" s="643" t="s">
        <v>1103</v>
      </c>
      <c r="C155" s="644">
        <f t="shared" si="4"/>
        <v>-0.02</v>
      </c>
      <c r="D155" s="644"/>
      <c r="E155" s="644"/>
      <c r="F155" s="643">
        <v>-0.02</v>
      </c>
      <c r="G155" s="643">
        <v>0</v>
      </c>
      <c r="H155" s="643">
        <v>0</v>
      </c>
    </row>
    <row r="156" spans="1:8">
      <c r="A156" s="642">
        <f t="shared" si="5"/>
        <v>9.5299999999999887</v>
      </c>
      <c r="B156" s="643" t="s">
        <v>1104</v>
      </c>
      <c r="C156" s="644">
        <f t="shared" si="4"/>
        <v>114902.29000000001</v>
      </c>
      <c r="D156" s="644"/>
      <c r="E156" s="644"/>
      <c r="F156" s="643">
        <v>24541.32</v>
      </c>
      <c r="G156" s="643">
        <v>0</v>
      </c>
      <c r="H156" s="643">
        <v>90360.97</v>
      </c>
    </row>
    <row r="157" spans="1:8">
      <c r="A157" s="642">
        <f t="shared" si="5"/>
        <v>9.5399999999999885</v>
      </c>
      <c r="B157" s="643" t="s">
        <v>1105</v>
      </c>
      <c r="C157" s="644">
        <f t="shared" si="4"/>
        <v>0</v>
      </c>
      <c r="D157" s="644"/>
      <c r="E157" s="644"/>
      <c r="F157" s="643">
        <v>0</v>
      </c>
      <c r="G157" s="643">
        <v>0</v>
      </c>
      <c r="H157" s="643">
        <v>0</v>
      </c>
    </row>
    <row r="158" spans="1:8">
      <c r="A158" s="642">
        <f t="shared" si="5"/>
        <v>9.5499999999999883</v>
      </c>
      <c r="B158" s="643" t="s">
        <v>1106</v>
      </c>
      <c r="C158" s="644">
        <f t="shared" si="4"/>
        <v>65211087.119999997</v>
      </c>
      <c r="D158" s="644"/>
      <c r="E158" s="644"/>
      <c r="F158" s="643">
        <v>65211087.119999997</v>
      </c>
      <c r="G158" s="643">
        <v>0</v>
      </c>
      <c r="H158" s="643">
        <v>0</v>
      </c>
    </row>
    <row r="159" spans="1:8">
      <c r="A159" s="642">
        <f t="shared" si="5"/>
        <v>9.5599999999999881</v>
      </c>
      <c r="B159" s="643" t="s">
        <v>1107</v>
      </c>
      <c r="C159" s="644">
        <f t="shared" si="4"/>
        <v>0</v>
      </c>
      <c r="D159" s="644"/>
      <c r="E159" s="644"/>
      <c r="F159" s="643">
        <v>0</v>
      </c>
      <c r="G159" s="643">
        <v>0</v>
      </c>
      <c r="H159" s="643">
        <v>0</v>
      </c>
    </row>
    <row r="160" spans="1:8">
      <c r="A160" s="642">
        <f t="shared" si="5"/>
        <v>9.5699999999999878</v>
      </c>
      <c r="B160" s="643" t="s">
        <v>1121</v>
      </c>
      <c r="C160" s="644">
        <f t="shared" si="4"/>
        <v>0</v>
      </c>
      <c r="D160" s="644"/>
      <c r="E160" s="644"/>
      <c r="F160" s="643">
        <v>0</v>
      </c>
      <c r="G160" s="643">
        <v>0</v>
      </c>
      <c r="H160" s="643">
        <v>0</v>
      </c>
    </row>
    <row r="161" spans="1:8">
      <c r="A161" s="642">
        <f t="shared" si="5"/>
        <v>9.5799999999999876</v>
      </c>
      <c r="B161" s="643" t="s">
        <v>1122</v>
      </c>
      <c r="C161" s="644">
        <f t="shared" si="4"/>
        <v>0</v>
      </c>
      <c r="D161" s="644"/>
      <c r="E161" s="644"/>
      <c r="F161" s="643">
        <v>0</v>
      </c>
      <c r="G161" s="643">
        <v>0</v>
      </c>
      <c r="H161" s="643">
        <v>0</v>
      </c>
    </row>
    <row r="162" spans="1:8">
      <c r="A162" s="642">
        <f t="shared" si="5"/>
        <v>9.5899999999999874</v>
      </c>
      <c r="B162" s="643" t="s">
        <v>1123</v>
      </c>
      <c r="C162" s="644">
        <f t="shared" si="4"/>
        <v>0</v>
      </c>
      <c r="D162" s="644"/>
      <c r="E162" s="644"/>
      <c r="F162" s="643">
        <v>0</v>
      </c>
      <c r="G162" s="643">
        <v>0</v>
      </c>
      <c r="H162" s="643">
        <v>0</v>
      </c>
    </row>
    <row r="163" spans="1:8">
      <c r="A163" s="642">
        <f t="shared" si="5"/>
        <v>9.5999999999999872</v>
      </c>
      <c r="B163" s="643" t="s">
        <v>1124</v>
      </c>
      <c r="C163" s="644">
        <f t="shared" si="4"/>
        <v>0</v>
      </c>
      <c r="D163" s="644"/>
      <c r="E163" s="644"/>
      <c r="F163" s="643">
        <v>0</v>
      </c>
      <c r="G163" s="643">
        <v>0</v>
      </c>
      <c r="H163" s="643">
        <v>0</v>
      </c>
    </row>
    <row r="164" spans="1:8">
      <c r="A164" s="642">
        <f t="shared" si="5"/>
        <v>9.609999999999987</v>
      </c>
      <c r="B164" s="643" t="s">
        <v>1125</v>
      </c>
      <c r="C164" s="644">
        <f t="shared" si="4"/>
        <v>0</v>
      </c>
      <c r="D164" s="644"/>
      <c r="E164" s="644"/>
      <c r="F164" s="643">
        <v>0</v>
      </c>
      <c r="G164" s="643">
        <v>0</v>
      </c>
      <c r="H164" s="643">
        <v>0</v>
      </c>
    </row>
    <row r="165" spans="1:8">
      <c r="A165" s="642">
        <f t="shared" si="5"/>
        <v>9.6199999999999868</v>
      </c>
      <c r="B165" s="643" t="s">
        <v>1126</v>
      </c>
      <c r="C165" s="644">
        <f t="shared" si="4"/>
        <v>0</v>
      </c>
      <c r="D165" s="644"/>
      <c r="E165" s="644"/>
      <c r="F165" s="643">
        <v>0</v>
      </c>
      <c r="G165" s="643">
        <v>0</v>
      </c>
      <c r="H165" s="643">
        <v>0</v>
      </c>
    </row>
    <row r="166" spans="1:8">
      <c r="A166" s="642">
        <f t="shared" si="5"/>
        <v>9.6299999999999866</v>
      </c>
      <c r="B166" s="643" t="s">
        <v>1127</v>
      </c>
      <c r="C166" s="644">
        <f t="shared" si="4"/>
        <v>-0.01</v>
      </c>
      <c r="D166" s="644"/>
      <c r="E166" s="644"/>
      <c r="F166" s="643">
        <v>0</v>
      </c>
      <c r="G166" s="643">
        <v>-0.01</v>
      </c>
      <c r="H166" s="643">
        <v>0</v>
      </c>
    </row>
    <row r="167" spans="1:8">
      <c r="A167" s="642">
        <f t="shared" si="5"/>
        <v>9.6399999999999864</v>
      </c>
      <c r="B167" s="643" t="s">
        <v>1128</v>
      </c>
      <c r="C167" s="644">
        <f t="shared" si="4"/>
        <v>0.02</v>
      </c>
      <c r="D167" s="644"/>
      <c r="E167" s="644"/>
      <c r="F167" s="643">
        <v>0</v>
      </c>
      <c r="G167" s="643">
        <v>0.02</v>
      </c>
      <c r="H167" s="643">
        <v>0</v>
      </c>
    </row>
    <row r="168" spans="1:8">
      <c r="A168" s="642">
        <f t="shared" si="5"/>
        <v>9.6499999999999861</v>
      </c>
      <c r="B168" s="643" t="s">
        <v>1129</v>
      </c>
      <c r="C168" s="644">
        <f t="shared" si="4"/>
        <v>0.01</v>
      </c>
      <c r="D168" s="644"/>
      <c r="E168" s="644"/>
      <c r="F168" s="643">
        <v>0</v>
      </c>
      <c r="G168" s="643">
        <v>0.01</v>
      </c>
      <c r="H168" s="643">
        <v>0</v>
      </c>
    </row>
    <row r="169" spans="1:8">
      <c r="A169" s="642">
        <f t="shared" si="5"/>
        <v>9.6599999999999859</v>
      </c>
      <c r="B169" s="643" t="s">
        <v>1130</v>
      </c>
      <c r="C169" s="644">
        <f t="shared" ref="C169:C200" si="6">SUM(F169:H169)</f>
        <v>-0.03</v>
      </c>
      <c r="D169" s="644"/>
      <c r="E169" s="644"/>
      <c r="F169" s="643">
        <v>-0.03</v>
      </c>
      <c r="G169" s="643">
        <v>0</v>
      </c>
      <c r="H169" s="643">
        <v>0</v>
      </c>
    </row>
    <row r="170" spans="1:8">
      <c r="A170" s="642">
        <f t="shared" ref="A170:A218" si="7">A169+0.01</f>
        <v>9.6699999999999857</v>
      </c>
      <c r="B170" s="639" t="s">
        <v>958</v>
      </c>
      <c r="C170" s="488">
        <f t="shared" si="6"/>
        <v>8399359.0899999999</v>
      </c>
      <c r="D170" s="488"/>
      <c r="E170" s="488"/>
      <c r="F170" s="639">
        <v>8399359.0899999999</v>
      </c>
      <c r="G170" s="639">
        <v>0</v>
      </c>
      <c r="H170" s="639">
        <v>0</v>
      </c>
    </row>
    <row r="171" spans="1:8">
      <c r="A171" s="642">
        <f t="shared" si="7"/>
        <v>9.6799999999999855</v>
      </c>
      <c r="B171" s="643" t="s">
        <v>959</v>
      </c>
      <c r="C171" s="644">
        <f t="shared" si="6"/>
        <v>8867162.5999999996</v>
      </c>
      <c r="D171" s="644"/>
      <c r="E171" s="644"/>
      <c r="F171" s="643">
        <v>8867162.5999999996</v>
      </c>
      <c r="G171" s="643">
        <v>0</v>
      </c>
      <c r="H171" s="643">
        <v>0</v>
      </c>
    </row>
    <row r="172" spans="1:8">
      <c r="A172" s="642">
        <f t="shared" si="7"/>
        <v>9.6899999999999853</v>
      </c>
      <c r="B172" s="643" t="s">
        <v>960</v>
      </c>
      <c r="C172" s="644">
        <f t="shared" si="6"/>
        <v>-0.27</v>
      </c>
      <c r="D172" s="644"/>
      <c r="E172" s="644"/>
      <c r="F172" s="643">
        <v>-0.27</v>
      </c>
      <c r="G172" s="643">
        <v>0</v>
      </c>
      <c r="H172" s="643">
        <v>0</v>
      </c>
    </row>
    <row r="173" spans="1:8">
      <c r="A173" s="642">
        <f t="shared" si="7"/>
        <v>9.6999999999999851</v>
      </c>
      <c r="B173" s="643" t="s">
        <v>961</v>
      </c>
      <c r="C173" s="644">
        <f t="shared" si="6"/>
        <v>1441135.9100000001</v>
      </c>
      <c r="D173" s="644"/>
      <c r="E173" s="644"/>
      <c r="F173" s="643">
        <v>1441135.9100000001</v>
      </c>
      <c r="G173" s="643">
        <v>0</v>
      </c>
      <c r="H173" s="643">
        <v>0</v>
      </c>
    </row>
    <row r="174" spans="1:8">
      <c r="A174" s="642">
        <f t="shared" si="7"/>
        <v>9.7099999999999849</v>
      </c>
      <c r="B174" s="643" t="s">
        <v>962</v>
      </c>
      <c r="C174" s="644">
        <f t="shared" si="6"/>
        <v>3882446.25</v>
      </c>
      <c r="D174" s="644"/>
      <c r="E174" s="644"/>
      <c r="F174" s="643">
        <v>3882446.25</v>
      </c>
      <c r="G174" s="643">
        <v>0</v>
      </c>
      <c r="H174" s="643">
        <v>0</v>
      </c>
    </row>
    <row r="175" spans="1:8">
      <c r="A175" s="642">
        <f t="shared" si="7"/>
        <v>9.7199999999999847</v>
      </c>
      <c r="B175" s="643" t="s">
        <v>963</v>
      </c>
      <c r="C175" s="644">
        <f t="shared" si="6"/>
        <v>933381.45000000007</v>
      </c>
      <c r="D175" s="644"/>
      <c r="E175" s="644"/>
      <c r="F175" s="643">
        <v>933381.45000000007</v>
      </c>
      <c r="G175" s="643">
        <v>0</v>
      </c>
      <c r="H175" s="643">
        <v>0</v>
      </c>
    </row>
    <row r="176" spans="1:8">
      <c r="A176" s="642">
        <f t="shared" si="7"/>
        <v>9.7299999999999844</v>
      </c>
      <c r="B176" s="643" t="s">
        <v>1005</v>
      </c>
      <c r="C176" s="644">
        <f t="shared" si="6"/>
        <v>68629.64</v>
      </c>
      <c r="D176" s="644"/>
      <c r="E176" s="644"/>
      <c r="F176" s="643">
        <v>68629.64</v>
      </c>
      <c r="G176" s="643">
        <v>0</v>
      </c>
      <c r="H176" s="643">
        <v>0</v>
      </c>
    </row>
    <row r="177" spans="1:8">
      <c r="A177" s="642">
        <f t="shared" si="7"/>
        <v>9.7399999999999842</v>
      </c>
      <c r="B177" s="656" t="s">
        <v>964</v>
      </c>
      <c r="C177" s="657">
        <f t="shared" si="6"/>
        <v>0</v>
      </c>
      <c r="D177" s="657"/>
      <c r="E177" s="657"/>
      <c r="F177" s="656">
        <v>0</v>
      </c>
      <c r="G177" s="656">
        <v>0</v>
      </c>
      <c r="H177" s="656">
        <v>0</v>
      </c>
    </row>
    <row r="178" spans="1:8">
      <c r="A178" s="642">
        <f t="shared" si="7"/>
        <v>9.749999999999984</v>
      </c>
      <c r="B178" s="643" t="s">
        <v>1006</v>
      </c>
      <c r="C178" s="644">
        <f t="shared" si="6"/>
        <v>0.01</v>
      </c>
      <c r="D178" s="644"/>
      <c r="E178" s="644"/>
      <c r="F178" s="643">
        <v>0</v>
      </c>
      <c r="G178" s="643">
        <v>0</v>
      </c>
      <c r="H178" s="643">
        <v>0.01</v>
      </c>
    </row>
    <row r="179" spans="1:8">
      <c r="A179" s="642">
        <f t="shared" si="7"/>
        <v>9.7599999999999838</v>
      </c>
      <c r="B179" s="643" t="s">
        <v>1007</v>
      </c>
      <c r="C179" s="644">
        <f t="shared" si="6"/>
        <v>60300.6</v>
      </c>
      <c r="D179" s="644"/>
      <c r="E179" s="644"/>
      <c r="F179" s="643">
        <v>60300.6</v>
      </c>
      <c r="G179" s="643">
        <v>0</v>
      </c>
      <c r="H179" s="643">
        <v>0</v>
      </c>
    </row>
    <row r="180" spans="1:8">
      <c r="A180" s="642">
        <f t="shared" si="7"/>
        <v>9.7699999999999836</v>
      </c>
      <c r="B180" s="643" t="s">
        <v>1008</v>
      </c>
      <c r="C180" s="644">
        <f t="shared" si="6"/>
        <v>0</v>
      </c>
      <c r="D180" s="644"/>
      <c r="E180" s="644"/>
      <c r="F180" s="643">
        <v>0</v>
      </c>
      <c r="G180" s="643">
        <v>0</v>
      </c>
      <c r="H180" s="643">
        <v>0</v>
      </c>
    </row>
    <row r="181" spans="1:8">
      <c r="A181" s="642">
        <f t="shared" si="7"/>
        <v>9.7799999999999834</v>
      </c>
      <c r="B181" s="643" t="s">
        <v>1009</v>
      </c>
      <c r="C181" s="644">
        <f t="shared" si="6"/>
        <v>0</v>
      </c>
      <c r="D181" s="644"/>
      <c r="E181" s="644"/>
      <c r="F181" s="643">
        <v>0</v>
      </c>
      <c r="G181" s="643">
        <v>0</v>
      </c>
      <c r="H181" s="643">
        <v>0</v>
      </c>
    </row>
    <row r="182" spans="1:8">
      <c r="A182" s="642">
        <f t="shared" si="7"/>
        <v>9.7899999999999832</v>
      </c>
      <c r="B182" s="643" t="s">
        <v>965</v>
      </c>
      <c r="C182" s="644">
        <f t="shared" si="6"/>
        <v>1390640.05</v>
      </c>
      <c r="D182" s="644"/>
      <c r="E182" s="644"/>
      <c r="F182" s="643">
        <v>1390640.05</v>
      </c>
      <c r="G182" s="643">
        <v>0</v>
      </c>
      <c r="H182" s="643">
        <v>0</v>
      </c>
    </row>
    <row r="183" spans="1:8">
      <c r="A183" s="642">
        <f t="shared" si="7"/>
        <v>9.7999999999999829</v>
      </c>
      <c r="B183" s="643" t="s">
        <v>966</v>
      </c>
      <c r="C183" s="644">
        <f t="shared" si="6"/>
        <v>1678739.97</v>
      </c>
      <c r="D183" s="644"/>
      <c r="E183" s="644"/>
      <c r="F183" s="643">
        <v>1678739.97</v>
      </c>
      <c r="G183" s="643">
        <v>0</v>
      </c>
      <c r="H183" s="643">
        <v>0</v>
      </c>
    </row>
    <row r="184" spans="1:8">
      <c r="A184" s="642">
        <f t="shared" si="7"/>
        <v>9.8099999999999827</v>
      </c>
      <c r="B184" s="643" t="s">
        <v>1194</v>
      </c>
      <c r="C184" s="644">
        <f t="shared" si="6"/>
        <v>2991038.8200000003</v>
      </c>
      <c r="D184" s="644"/>
      <c r="E184" s="644"/>
      <c r="F184" s="643">
        <v>2991038.8200000003</v>
      </c>
      <c r="G184" s="643">
        <v>0</v>
      </c>
      <c r="H184" s="643">
        <v>0</v>
      </c>
    </row>
    <row r="185" spans="1:8">
      <c r="A185" s="642">
        <f t="shared" si="7"/>
        <v>9.8199999999999825</v>
      </c>
      <c r="B185" s="643" t="s">
        <v>1195</v>
      </c>
      <c r="C185" s="644">
        <f t="shared" si="6"/>
        <v>84000</v>
      </c>
      <c r="D185" s="644"/>
      <c r="E185" s="644"/>
      <c r="F185" s="643">
        <v>84000</v>
      </c>
      <c r="G185" s="643">
        <v>0</v>
      </c>
      <c r="H185" s="643">
        <v>0</v>
      </c>
    </row>
    <row r="186" spans="1:8">
      <c r="A186" s="642">
        <f t="shared" si="7"/>
        <v>9.8299999999999823</v>
      </c>
      <c r="B186" s="643" t="s">
        <v>1196</v>
      </c>
      <c r="C186" s="644">
        <f t="shared" si="6"/>
        <v>2470823.67</v>
      </c>
      <c r="D186" s="644"/>
      <c r="E186" s="644"/>
      <c r="F186" s="643">
        <v>2470823.67</v>
      </c>
      <c r="G186" s="643">
        <v>0</v>
      </c>
      <c r="H186" s="643">
        <v>0</v>
      </c>
    </row>
    <row r="187" spans="1:8">
      <c r="A187" s="642">
        <f t="shared" si="7"/>
        <v>9.8399999999999821</v>
      </c>
      <c r="B187" s="643" t="s">
        <v>1197</v>
      </c>
      <c r="C187" s="644">
        <f t="shared" si="6"/>
        <v>3769.61</v>
      </c>
      <c r="D187" s="644"/>
      <c r="E187" s="644"/>
      <c r="F187" s="643">
        <v>0</v>
      </c>
      <c r="G187" s="643">
        <v>3769.61</v>
      </c>
      <c r="H187" s="643">
        <v>0</v>
      </c>
    </row>
    <row r="188" spans="1:8">
      <c r="A188" s="642">
        <f t="shared" si="7"/>
        <v>9.8499999999999819</v>
      </c>
      <c r="B188" s="643" t="s">
        <v>1108</v>
      </c>
      <c r="C188" s="644">
        <f t="shared" si="6"/>
        <v>9440545.1500000004</v>
      </c>
      <c r="D188" s="644"/>
      <c r="E188" s="644"/>
      <c r="F188" s="643">
        <v>0</v>
      </c>
      <c r="G188" s="643">
        <v>0</v>
      </c>
      <c r="H188" s="643">
        <v>9440545.1500000004</v>
      </c>
    </row>
    <row r="189" spans="1:8">
      <c r="A189" s="642">
        <f t="shared" si="7"/>
        <v>9.8599999999999817</v>
      </c>
      <c r="B189" s="643" t="s">
        <v>967</v>
      </c>
      <c r="C189" s="644">
        <f t="shared" si="6"/>
        <v>0</v>
      </c>
      <c r="D189" s="644"/>
      <c r="E189" s="644"/>
      <c r="F189" s="643">
        <v>0</v>
      </c>
      <c r="G189" s="643">
        <v>0</v>
      </c>
      <c r="H189" s="643">
        <v>0</v>
      </c>
    </row>
    <row r="190" spans="1:8">
      <c r="A190" s="642">
        <f t="shared" si="7"/>
        <v>9.8699999999999815</v>
      </c>
      <c r="B190" s="643" t="s">
        <v>968</v>
      </c>
      <c r="C190" s="644">
        <f t="shared" si="6"/>
        <v>0</v>
      </c>
      <c r="D190" s="644"/>
      <c r="E190" s="644"/>
      <c r="F190" s="643">
        <v>0</v>
      </c>
      <c r="G190" s="643">
        <v>0</v>
      </c>
      <c r="H190" s="643">
        <v>0</v>
      </c>
    </row>
    <row r="191" spans="1:8">
      <c r="A191" s="642">
        <f t="shared" si="7"/>
        <v>9.8799999999999812</v>
      </c>
      <c r="B191" s="643" t="s">
        <v>969</v>
      </c>
      <c r="C191" s="644">
        <f t="shared" si="6"/>
        <v>171481.18</v>
      </c>
      <c r="D191" s="644"/>
      <c r="E191" s="644"/>
      <c r="F191" s="643">
        <v>0</v>
      </c>
      <c r="G191" s="643">
        <v>0</v>
      </c>
      <c r="H191" s="643">
        <v>171481.18</v>
      </c>
    </row>
    <row r="192" spans="1:8">
      <c r="A192" s="642">
        <f t="shared" si="7"/>
        <v>9.889999999999981</v>
      </c>
      <c r="B192" s="643" t="s">
        <v>1010</v>
      </c>
      <c r="C192" s="644">
        <f t="shared" si="6"/>
        <v>411957.22000000003</v>
      </c>
      <c r="D192" s="644"/>
      <c r="E192" s="644"/>
      <c r="F192" s="643">
        <v>0</v>
      </c>
      <c r="G192" s="643">
        <v>0</v>
      </c>
      <c r="H192" s="643">
        <v>411957.22000000003</v>
      </c>
    </row>
    <row r="193" spans="1:8">
      <c r="A193" s="642">
        <f t="shared" si="7"/>
        <v>9.8999999999999808</v>
      </c>
      <c r="B193" s="643" t="s">
        <v>1109</v>
      </c>
      <c r="C193" s="644">
        <f t="shared" si="6"/>
        <v>486112.2</v>
      </c>
      <c r="D193" s="644"/>
      <c r="E193" s="644"/>
      <c r="F193" s="643">
        <v>0</v>
      </c>
      <c r="G193" s="643">
        <v>0</v>
      </c>
      <c r="H193" s="643">
        <v>486112.2</v>
      </c>
    </row>
    <row r="194" spans="1:8">
      <c r="A194" s="642">
        <f t="shared" si="7"/>
        <v>9.9099999999999806</v>
      </c>
      <c r="B194" s="643" t="s">
        <v>1011</v>
      </c>
      <c r="C194" s="644">
        <f t="shared" si="6"/>
        <v>7911.64</v>
      </c>
      <c r="D194" s="644"/>
      <c r="E194" s="644"/>
      <c r="F194" s="643">
        <v>0</v>
      </c>
      <c r="G194" s="643">
        <v>0</v>
      </c>
      <c r="H194" s="643">
        <v>7911.64</v>
      </c>
    </row>
    <row r="195" spans="1:8">
      <c r="A195" s="642">
        <f t="shared" si="7"/>
        <v>9.9199999999999804</v>
      </c>
      <c r="B195" s="677" t="s">
        <v>1131</v>
      </c>
      <c r="C195" s="484">
        <f t="shared" si="6"/>
        <v>442276.94</v>
      </c>
      <c r="D195" s="484"/>
      <c r="E195" s="484"/>
      <c r="F195" s="677">
        <v>0</v>
      </c>
      <c r="G195" s="677">
        <v>0</v>
      </c>
      <c r="H195" s="677">
        <v>442276.94</v>
      </c>
    </row>
    <row r="196" spans="1:8">
      <c r="A196" s="642">
        <f t="shared" si="7"/>
        <v>9.9299999999999802</v>
      </c>
      <c r="B196" s="677" t="s">
        <v>441</v>
      </c>
      <c r="C196" s="484">
        <f t="shared" si="6"/>
        <v>3242979.18</v>
      </c>
      <c r="D196" s="484"/>
      <c r="E196" s="484"/>
      <c r="F196" s="677">
        <v>3795675.66</v>
      </c>
      <c r="G196" s="677">
        <v>129435.81</v>
      </c>
      <c r="H196" s="677">
        <v>-682132.29</v>
      </c>
    </row>
    <row r="197" spans="1:8">
      <c r="A197" s="642">
        <f t="shared" si="7"/>
        <v>9.93999999999998</v>
      </c>
      <c r="B197" s="658" t="s">
        <v>896</v>
      </c>
      <c r="C197" s="659">
        <f t="shared" si="6"/>
        <v>12217603.360000001</v>
      </c>
      <c r="D197" s="659"/>
      <c r="E197" s="659"/>
      <c r="F197" s="658">
        <v>4416281.790000001</v>
      </c>
      <c r="G197" s="658">
        <v>2639324.21</v>
      </c>
      <c r="H197" s="658">
        <v>5161997.3600000003</v>
      </c>
    </row>
    <row r="198" spans="1:8">
      <c r="A198" s="642">
        <f t="shared" si="7"/>
        <v>9.9499999999999797</v>
      </c>
      <c r="B198" s="643" t="s">
        <v>442</v>
      </c>
      <c r="C198" s="644">
        <f t="shared" si="6"/>
        <v>14842844.09</v>
      </c>
      <c r="D198" s="644"/>
      <c r="E198" s="644"/>
      <c r="F198" s="643">
        <v>309043.82</v>
      </c>
      <c r="G198" s="643">
        <v>0.21</v>
      </c>
      <c r="H198" s="643">
        <v>14533800.060000001</v>
      </c>
    </row>
    <row r="199" spans="1:8">
      <c r="A199" s="642">
        <f t="shared" si="7"/>
        <v>9.9599999999999795</v>
      </c>
      <c r="B199" s="658" t="s">
        <v>538</v>
      </c>
      <c r="C199" s="659">
        <f t="shared" si="6"/>
        <v>0</v>
      </c>
      <c r="D199" s="659"/>
      <c r="E199" s="659"/>
      <c r="F199" s="658">
        <v>0</v>
      </c>
      <c r="G199" s="658">
        <v>0</v>
      </c>
      <c r="H199" s="658">
        <v>0</v>
      </c>
    </row>
    <row r="200" spans="1:8">
      <c r="A200" s="642">
        <f t="shared" si="7"/>
        <v>9.9699999999999793</v>
      </c>
      <c r="B200" s="658" t="s">
        <v>897</v>
      </c>
      <c r="C200" s="659">
        <f t="shared" si="6"/>
        <v>123652.01000000001</v>
      </c>
      <c r="D200" s="659"/>
      <c r="E200" s="659"/>
      <c r="F200" s="658">
        <v>51144</v>
      </c>
      <c r="G200" s="658">
        <v>7985.58</v>
      </c>
      <c r="H200" s="658">
        <v>64522.43</v>
      </c>
    </row>
    <row r="201" spans="1:8">
      <c r="A201" s="642">
        <f t="shared" si="7"/>
        <v>9.9799999999999791</v>
      </c>
      <c r="B201" s="643" t="s">
        <v>1132</v>
      </c>
      <c r="C201" s="644">
        <f>SUM(F201:H201)</f>
        <v>-747680.57</v>
      </c>
      <c r="D201" s="644"/>
      <c r="E201" s="644"/>
      <c r="F201" s="643">
        <v>-303124.53999999998</v>
      </c>
      <c r="G201" s="643">
        <v>-244511.32</v>
      </c>
      <c r="H201" s="643">
        <v>-200044.71</v>
      </c>
    </row>
    <row r="202" spans="1:8">
      <c r="A202" s="642">
        <f t="shared" si="7"/>
        <v>9.9899999999999789</v>
      </c>
      <c r="B202" s="658" t="s">
        <v>72</v>
      </c>
      <c r="C202" s="659">
        <f>SUM(F202:H202)</f>
        <v>3128867.9</v>
      </c>
      <c r="D202" s="659"/>
      <c r="E202" s="659"/>
      <c r="F202" s="658">
        <v>1149848.25</v>
      </c>
      <c r="G202" s="658">
        <v>43918.79</v>
      </c>
      <c r="H202" s="658">
        <v>1935100.8599999999</v>
      </c>
    </row>
    <row r="203" spans="1:8">
      <c r="A203" s="642">
        <f t="shared" si="7"/>
        <v>9.9999999999999787</v>
      </c>
      <c r="B203" s="643" t="s">
        <v>29</v>
      </c>
      <c r="C203" s="644">
        <f>SUM(F203:H203)</f>
        <v>0</v>
      </c>
      <c r="D203" s="644"/>
      <c r="E203" s="644"/>
      <c r="F203" s="643">
        <v>0</v>
      </c>
      <c r="G203" s="643">
        <v>0</v>
      </c>
      <c r="H203" s="643">
        <v>0</v>
      </c>
    </row>
    <row r="204" spans="1:8">
      <c r="A204" s="642">
        <f t="shared" si="7"/>
        <v>10.009999999999978</v>
      </c>
      <c r="B204" s="643" t="s">
        <v>1100</v>
      </c>
      <c r="C204" s="644">
        <f t="shared" ref="C204:C208" si="8">SUM(F204:H204)</f>
        <v>0</v>
      </c>
      <c r="D204" s="644"/>
      <c r="E204" s="644"/>
      <c r="F204" s="643">
        <v>0</v>
      </c>
      <c r="G204" s="643">
        <v>0</v>
      </c>
      <c r="H204" s="643">
        <v>0</v>
      </c>
    </row>
    <row r="205" spans="1:8">
      <c r="A205" s="642">
        <f t="shared" si="7"/>
        <v>10.019999999999978</v>
      </c>
      <c r="B205" s="643" t="s">
        <v>1133</v>
      </c>
      <c r="C205" s="644">
        <f t="shared" si="8"/>
        <v>38810565</v>
      </c>
      <c r="D205" s="644"/>
      <c r="E205" s="644"/>
      <c r="F205" s="643">
        <v>636393</v>
      </c>
      <c r="G205" s="643">
        <v>34400590</v>
      </c>
      <c r="H205" s="643">
        <v>3773582</v>
      </c>
    </row>
    <row r="206" spans="1:8">
      <c r="A206" s="642">
        <f t="shared" si="7"/>
        <v>10.029999999999978</v>
      </c>
      <c r="B206" s="643" t="s">
        <v>1134</v>
      </c>
      <c r="C206" s="644">
        <f t="shared" si="8"/>
        <v>-3478333.11</v>
      </c>
      <c r="D206" s="644"/>
      <c r="E206" s="644"/>
      <c r="F206" s="643">
        <v>-1618290.24</v>
      </c>
      <c r="G206" s="643">
        <v>-525486.99</v>
      </c>
      <c r="H206" s="643">
        <v>-1334555.8799999999</v>
      </c>
    </row>
    <row r="207" spans="1:8">
      <c r="A207" s="642">
        <f t="shared" si="7"/>
        <v>10.039999999999978</v>
      </c>
      <c r="B207" s="643" t="s">
        <v>1063</v>
      </c>
      <c r="C207" s="644">
        <f t="shared" si="8"/>
        <v>-116513624.3</v>
      </c>
      <c r="D207" s="644"/>
      <c r="E207" s="644"/>
      <c r="F207" s="643">
        <v>-96499178.420000002</v>
      </c>
      <c r="G207" s="643">
        <v>-23180402.710000001</v>
      </c>
      <c r="H207" s="643">
        <v>3165956.83</v>
      </c>
    </row>
    <row r="208" spans="1:8">
      <c r="A208" s="642">
        <f t="shared" si="7"/>
        <v>10.049999999999978</v>
      </c>
      <c r="B208" s="677" t="s">
        <v>1116</v>
      </c>
      <c r="C208" s="484">
        <f t="shared" si="8"/>
        <v>0</v>
      </c>
      <c r="D208" s="484"/>
      <c r="E208" s="484"/>
      <c r="F208" s="677"/>
      <c r="G208" s="677"/>
      <c r="H208" s="677"/>
    </row>
    <row r="209" spans="1:8">
      <c r="A209" s="642">
        <f t="shared" si="7"/>
        <v>10.059999999999977</v>
      </c>
      <c r="B209" s="643" t="s">
        <v>1117</v>
      </c>
      <c r="C209" s="643">
        <f t="shared" ref="C209:C218" si="9">-D209</f>
        <v>0</v>
      </c>
      <c r="D209" s="644">
        <v>0</v>
      </c>
      <c r="E209" s="644"/>
      <c r="F209" s="643"/>
      <c r="G209" s="643"/>
      <c r="H209" s="643"/>
    </row>
    <row r="210" spans="1:8">
      <c r="A210" s="642">
        <f t="shared" si="7"/>
        <v>10.069999999999977</v>
      </c>
      <c r="B210" s="643" t="s">
        <v>455</v>
      </c>
      <c r="C210" s="643">
        <f t="shared" si="9"/>
        <v>379168</v>
      </c>
      <c r="D210" s="644">
        <v>-379168</v>
      </c>
      <c r="E210" s="644"/>
      <c r="F210" s="643"/>
      <c r="G210" s="643"/>
      <c r="H210" s="643"/>
    </row>
    <row r="211" spans="1:8">
      <c r="A211" s="642">
        <f t="shared" si="7"/>
        <v>10.079999999999977</v>
      </c>
      <c r="B211" s="643" t="s">
        <v>73</v>
      </c>
      <c r="C211" s="643">
        <f t="shared" si="9"/>
        <v>81610034.090000004</v>
      </c>
      <c r="D211" s="644">
        <v>-81610034.090000004</v>
      </c>
      <c r="E211" s="644"/>
      <c r="F211" s="643">
        <v>0</v>
      </c>
      <c r="G211" s="643">
        <v>0</v>
      </c>
      <c r="H211" s="643">
        <v>0</v>
      </c>
    </row>
    <row r="212" spans="1:8">
      <c r="A212" s="642">
        <f t="shared" si="7"/>
        <v>10.089999999999977</v>
      </c>
      <c r="B212" s="643" t="s">
        <v>74</v>
      </c>
      <c r="C212" s="643">
        <f t="shared" si="9"/>
        <v>116513631.39</v>
      </c>
      <c r="D212" s="644">
        <v>-116513631.39</v>
      </c>
      <c r="E212" s="644"/>
      <c r="F212" s="643"/>
      <c r="G212" s="643"/>
      <c r="H212" s="643"/>
    </row>
    <row r="213" spans="1:8">
      <c r="A213" s="642">
        <f t="shared" si="7"/>
        <v>10.099999999999977</v>
      </c>
      <c r="B213" s="643" t="s">
        <v>1135</v>
      </c>
      <c r="C213" s="643">
        <f t="shared" si="9"/>
        <v>-3560388</v>
      </c>
      <c r="D213" s="644">
        <v>3560388</v>
      </c>
      <c r="E213" s="644"/>
      <c r="F213" s="643"/>
      <c r="G213" s="643"/>
      <c r="H213" s="643"/>
    </row>
    <row r="214" spans="1:8">
      <c r="A214" s="642">
        <f t="shared" si="7"/>
        <v>10.109999999999976</v>
      </c>
      <c r="B214" s="643" t="s">
        <v>1136</v>
      </c>
      <c r="C214" s="643">
        <f t="shared" si="9"/>
        <v>-35332231.890000001</v>
      </c>
      <c r="D214" s="644">
        <v>35332231.890000001</v>
      </c>
      <c r="E214" s="644"/>
      <c r="F214" s="643"/>
      <c r="G214" s="643"/>
      <c r="H214" s="643"/>
    </row>
    <row r="215" spans="1:8">
      <c r="A215" s="642">
        <f t="shared" si="7"/>
        <v>10.119999999999976</v>
      </c>
      <c r="B215" s="643" t="s">
        <v>1137</v>
      </c>
      <c r="C215" s="643">
        <f t="shared" si="9"/>
        <v>-16563491</v>
      </c>
      <c r="D215" s="644">
        <v>16563491</v>
      </c>
      <c r="E215" s="644"/>
      <c r="F215" s="643"/>
      <c r="G215" s="643"/>
      <c r="H215" s="643"/>
    </row>
    <row r="216" spans="1:8">
      <c r="A216" s="642">
        <f t="shared" si="7"/>
        <v>10.129999999999976</v>
      </c>
      <c r="B216" s="643" t="s">
        <v>30</v>
      </c>
      <c r="C216" s="643">
        <f t="shared" si="9"/>
        <v>2099914</v>
      </c>
      <c r="D216" s="644">
        <v>-2099914</v>
      </c>
      <c r="E216" s="644"/>
      <c r="F216" s="643"/>
      <c r="G216" s="643"/>
      <c r="H216" s="643"/>
    </row>
    <row r="217" spans="1:8">
      <c r="A217" s="642">
        <f t="shared" si="7"/>
        <v>10.139999999999976</v>
      </c>
      <c r="B217" s="643" t="s">
        <v>31</v>
      </c>
      <c r="C217" s="643">
        <f t="shared" si="9"/>
        <v>3489.34</v>
      </c>
      <c r="D217" s="644">
        <v>-3489.34</v>
      </c>
      <c r="E217" s="644"/>
      <c r="F217" s="643"/>
      <c r="G217" s="643"/>
      <c r="H217" s="643"/>
    </row>
    <row r="218" spans="1:8">
      <c r="A218" s="642">
        <f t="shared" si="7"/>
        <v>10.149999999999975</v>
      </c>
      <c r="B218" s="643" t="s">
        <v>539</v>
      </c>
      <c r="C218" s="643">
        <f t="shared" si="9"/>
        <v>0</v>
      </c>
      <c r="D218" s="644">
        <v>0</v>
      </c>
      <c r="E218" s="644"/>
      <c r="F218" s="643"/>
      <c r="G218" s="643"/>
      <c r="H218" s="643"/>
    </row>
    <row r="219" spans="1:8">
      <c r="A219" s="642"/>
      <c r="B219" s="643"/>
      <c r="C219" s="643"/>
      <c r="D219" s="644"/>
      <c r="E219" s="644"/>
      <c r="F219" s="643"/>
      <c r="G219" s="643"/>
      <c r="H219" s="643"/>
    </row>
    <row r="220" spans="1:8">
      <c r="A220" s="642"/>
      <c r="B220" s="643"/>
      <c r="C220" s="643"/>
      <c r="D220" s="644"/>
      <c r="E220" s="644"/>
      <c r="F220" s="643"/>
      <c r="G220" s="643"/>
      <c r="H220" s="643"/>
    </row>
    <row r="221" spans="1:8">
      <c r="A221" s="642"/>
      <c r="B221" s="643"/>
      <c r="C221" s="643"/>
      <c r="D221" s="644"/>
      <c r="E221" s="644"/>
      <c r="F221" s="643"/>
      <c r="G221" s="643"/>
      <c r="H221" s="643"/>
    </row>
    <row r="222" spans="1:8">
      <c r="A222" s="642"/>
      <c r="B222" s="643"/>
      <c r="C222" s="643"/>
      <c r="D222" s="644"/>
      <c r="E222" s="644"/>
      <c r="F222" s="644"/>
      <c r="G222" s="644"/>
      <c r="H222" s="644"/>
    </row>
    <row r="223" spans="1:8">
      <c r="A223" s="642"/>
      <c r="B223" s="643"/>
      <c r="C223" s="643"/>
      <c r="D223" s="644"/>
      <c r="E223" s="644"/>
      <c r="F223" s="644"/>
      <c r="G223" s="644"/>
      <c r="H223" s="644"/>
    </row>
    <row r="224" spans="1:8">
      <c r="A224" s="642"/>
      <c r="B224" s="643"/>
      <c r="C224" s="643"/>
      <c r="D224" s="644"/>
      <c r="E224" s="644"/>
      <c r="F224" s="644"/>
      <c r="G224" s="644"/>
      <c r="H224" s="644"/>
    </row>
    <row r="225" spans="1:10">
      <c r="A225" s="637"/>
      <c r="B225" s="480"/>
      <c r="C225" s="484"/>
      <c r="D225" s="484"/>
      <c r="E225" s="484"/>
      <c r="F225" s="484"/>
      <c r="G225" s="484"/>
      <c r="H225" s="484"/>
    </row>
    <row r="226" spans="1:10">
      <c r="A226" s="637"/>
      <c r="B226" s="480"/>
      <c r="C226" s="484"/>
      <c r="D226" s="484"/>
      <c r="E226" s="484"/>
      <c r="F226" s="484"/>
      <c r="G226" s="484"/>
      <c r="H226" s="484"/>
    </row>
    <row r="227" spans="1:10" ht="13.5" thickBot="1">
      <c r="A227" s="637">
        <v>10</v>
      </c>
      <c r="B227" s="485"/>
      <c r="C227" s="486">
        <f>SUM(C104:C226)</f>
        <v>388348763.26999992</v>
      </c>
      <c r="D227" s="486">
        <f>SUM(D104:D226)</f>
        <v>-145150125.93000004</v>
      </c>
      <c r="E227" s="497"/>
      <c r="F227" s="486">
        <f>SUM(F104:F226)</f>
        <v>140723369.16999996</v>
      </c>
      <c r="G227" s="486">
        <f>SUM(G104:G226)</f>
        <v>22113775.429999992</v>
      </c>
      <c r="H227" s="486">
        <f>SUM(H104:H226)</f>
        <v>80361492.74000001</v>
      </c>
    </row>
    <row r="228" spans="1:10" ht="13.5" thickTop="1">
      <c r="A228" s="637"/>
      <c r="B228" s="480"/>
      <c r="C228" s="487"/>
      <c r="D228" s="487"/>
      <c r="E228" s="484"/>
      <c r="F228" s="487"/>
      <c r="G228" s="487"/>
      <c r="H228" s="487"/>
    </row>
    <row r="229" spans="1:10">
      <c r="A229" s="637"/>
      <c r="B229" s="480"/>
      <c r="C229" s="484"/>
      <c r="D229" s="484"/>
      <c r="E229" s="484"/>
      <c r="F229" s="484"/>
      <c r="G229" s="484"/>
      <c r="H229" s="484"/>
    </row>
    <row r="230" spans="1:10">
      <c r="A230" s="648">
        <f>+A227+1</f>
        <v>11</v>
      </c>
      <c r="B230" s="649" t="s">
        <v>436</v>
      </c>
      <c r="C230" s="644">
        <f>SUM(F230:H230)</f>
        <v>78364168.120000005</v>
      </c>
      <c r="D230" s="644"/>
      <c r="E230" s="644"/>
      <c r="F230" s="643">
        <v>37829680.259999998</v>
      </c>
      <c r="G230" s="643">
        <v>14253794.68</v>
      </c>
      <c r="H230" s="643">
        <v>26280693.18</v>
      </c>
    </row>
    <row r="231" spans="1:10">
      <c r="A231" s="642">
        <f>A230+0.01</f>
        <v>11.01</v>
      </c>
      <c r="B231" s="643" t="s">
        <v>75</v>
      </c>
      <c r="C231" s="643">
        <f>-D231</f>
        <v>251285422.50999999</v>
      </c>
      <c r="D231" s="644">
        <v>-251285422.50999999</v>
      </c>
      <c r="E231" s="644"/>
      <c r="F231" s="644"/>
      <c r="G231" s="644"/>
      <c r="H231" s="644"/>
    </row>
    <row r="232" spans="1:10">
      <c r="A232" s="637"/>
      <c r="B232" s="480"/>
      <c r="C232" s="484"/>
      <c r="D232" s="484"/>
      <c r="E232" s="484"/>
      <c r="F232" s="484"/>
      <c r="G232" s="484"/>
      <c r="H232" s="484"/>
    </row>
    <row r="233" spans="1:10" ht="13.5" thickBot="1">
      <c r="A233" s="637">
        <f>+A230+1</f>
        <v>12</v>
      </c>
      <c r="B233" s="412" t="s">
        <v>76</v>
      </c>
      <c r="C233" s="486">
        <f>SUM(C227:C232)</f>
        <v>717998353.89999986</v>
      </c>
      <c r="D233" s="486">
        <f>SUM(D227:D232)</f>
        <v>-396435548.44000006</v>
      </c>
      <c r="E233" s="484"/>
      <c r="F233" s="486">
        <f>SUM(F227:F232)</f>
        <v>178553049.42999995</v>
      </c>
      <c r="G233" s="486">
        <f>SUM(G227:G232)</f>
        <v>36367570.109999992</v>
      </c>
      <c r="H233" s="486">
        <f>SUM(H227:H232)</f>
        <v>106642185.92000002</v>
      </c>
      <c r="I233" s="406">
        <f>SUM(F233:H233)</f>
        <v>321562805.45999992</v>
      </c>
      <c r="J233" s="672" t="s">
        <v>1091</v>
      </c>
    </row>
    <row r="234" spans="1:10" ht="13.5" thickTop="1">
      <c r="A234" s="637">
        <f>A233+1</f>
        <v>13</v>
      </c>
      <c r="B234" s="588" t="s">
        <v>1083</v>
      </c>
      <c r="C234" s="487">
        <f>C134+C170</f>
        <v>8399359.1999999993</v>
      </c>
      <c r="D234" s="487">
        <f>D137+D176</f>
        <v>0</v>
      </c>
      <c r="E234" s="484"/>
      <c r="F234" s="487">
        <f>F137+F176</f>
        <v>1081257.3699999999</v>
      </c>
      <c r="G234" s="487">
        <f>G137+G176</f>
        <v>474923.57</v>
      </c>
      <c r="H234" s="487">
        <f>H137+H176</f>
        <v>1292170.43</v>
      </c>
    </row>
    <row r="235" spans="1:10">
      <c r="A235" s="637"/>
      <c r="B235" s="588"/>
      <c r="C235" s="663"/>
      <c r="D235" s="663"/>
      <c r="E235" s="484"/>
      <c r="F235" s="663"/>
      <c r="G235" s="663"/>
      <c r="H235" s="663"/>
    </row>
    <row r="236" spans="1:10">
      <c r="A236" s="637"/>
      <c r="B236" s="668" t="s">
        <v>1087</v>
      </c>
      <c r="C236" s="669"/>
      <c r="D236" s="669"/>
      <c r="E236" s="669"/>
      <c r="F236" s="669">
        <f>F114+F115+F137+F135+F136+F199+F200+F202+F197</f>
        <v>18596139.720000003</v>
      </c>
      <c r="G236" s="669">
        <f>G114+G115+G137+G135+G136+G199+G200+G202+G197</f>
        <v>4157347.67</v>
      </c>
      <c r="H236" s="669">
        <f>H114+H115+H137+H135+H136+H199+H200+H202+H197</f>
        <v>22022403.800000001</v>
      </c>
    </row>
    <row r="237" spans="1:10">
      <c r="A237" s="637"/>
      <c r="B237" s="670" t="s">
        <v>1088</v>
      </c>
      <c r="C237" s="671"/>
      <c r="D237" s="671"/>
      <c r="E237" s="671"/>
      <c r="F237" s="671">
        <f>F105+F106+F107+F108+F109+F132+F131+F141+F140+F177</f>
        <v>92235610.489999995</v>
      </c>
      <c r="G237" s="671">
        <f t="shared" ref="G237:H237" si="10">G105+G106+G107+G108+G109+G132+G131+G141+G140+G177</f>
        <v>1497477.81</v>
      </c>
      <c r="H237" s="671">
        <f t="shared" si="10"/>
        <v>2646069.6999999997</v>
      </c>
    </row>
    <row r="238" spans="1:10">
      <c r="A238" s="637"/>
      <c r="B238" s="660" t="s">
        <v>282</v>
      </c>
      <c r="C238" s="661"/>
      <c r="D238" s="661"/>
      <c r="E238" s="661"/>
      <c r="F238" s="661">
        <f>F134+F170</f>
        <v>8399359.1999999993</v>
      </c>
      <c r="G238" s="661">
        <f t="shared" ref="G238:H238" si="11">G134+G170</f>
        <v>0</v>
      </c>
      <c r="H238" s="661">
        <f t="shared" si="11"/>
        <v>0</v>
      </c>
    </row>
    <row r="239" spans="1:10" ht="13.5" thickBot="1">
      <c r="A239" s="637"/>
      <c r="B239" s="588" t="s">
        <v>1089</v>
      </c>
      <c r="C239" s="663"/>
      <c r="D239" s="663"/>
      <c r="E239" s="663"/>
      <c r="F239" s="663">
        <f>F104+F110+F111+F112+F113+F116+F117+F118+F119+F120+F121+F122+F123+F125+F124+F126+F128+F127+F129+F133+F138+F139+F142+F143+F145+F144+F146+F147+F148+F149+F150+F151+F152+F153+F154+F155+F156+F157+F158+F159+F160+F162+F161+F163+F164+F165+F166+F167+F168+F169+F171+F172+F173+F174+F175+F176+F178+F179+F180+F182+F187+F181+F183+F188+F189+F191+F190+F192+F193+F194+F195+F196+F198+F201+F203+F204+F205+F206+F207</f>
        <v>15882334.459999964</v>
      </c>
      <c r="G239" s="663">
        <f>G104+G110+G111+G112+G113+G116+G117+G118+G119+G120+G121+G122+G123+G125+G124+G126+G128+G127+G129+G133+G138+G139+G142+G143+G145+G144+G146+G147+G148+G149+G150+G151+G152+G153+G154+G155+G156+G157+G158+G159+G160+G162+G161+G163+G164+G165+G166+G167+G168+G169+G171+G172+G173+G174+G175+G176+G178+G179+G180+G182+G187+G181+G183+G188+G189+G191+G190+G192+G193+G194+G195+G196+G198+G201+G203+G204+G205+G206+G207</f>
        <v>16593435.629999995</v>
      </c>
      <c r="H239" s="663">
        <f>H104+H110+H111+H112+H113+H116+H117+H118+H119+H120+H121+H122+H123+H125+H124+H126+H128+H127+H129+H133+H138+H139+H142+H143+H145+H144+H146+H147+H148+H149+H150+H151+H152+H153+H154+H155+H156+H157+H158+H159+H160+H162+H161+H163+H164+H165+H166+H167+H168+H169+H171+H172+H173+H174+H175+H176+H178+H179+H180+H182+H187+H181+H183+H188+H189+H191+H190+H192+H193+H194+H195+H196+H198+H201+H203+H204+H205+H206+H207</f>
        <v>55693019.239999995</v>
      </c>
    </row>
    <row r="240" spans="1:10" ht="13.5" thickBot="1">
      <c r="A240" s="637"/>
      <c r="B240" s="664" t="s">
        <v>1090</v>
      </c>
      <c r="C240" s="665"/>
      <c r="D240" s="665"/>
      <c r="E240" s="665"/>
      <c r="F240" s="665">
        <f>F238+G233+H233</f>
        <v>151409115.23000002</v>
      </c>
      <c r="G240" s="665"/>
      <c r="H240" s="666"/>
    </row>
    <row r="241" spans="1:10">
      <c r="A241" s="637"/>
      <c r="B241" s="588"/>
      <c r="C241" s="663"/>
      <c r="D241" s="663"/>
      <c r="E241" s="484"/>
      <c r="F241" s="663"/>
      <c r="G241" s="663"/>
      <c r="H241" s="663"/>
    </row>
    <row r="242" spans="1:10">
      <c r="A242" s="637"/>
      <c r="B242" s="480"/>
      <c r="C242" s="489"/>
      <c r="D242" s="484"/>
      <c r="E242" s="484"/>
      <c r="F242" s="484"/>
      <c r="G242" s="484"/>
      <c r="H242" s="484"/>
    </row>
    <row r="243" spans="1:10">
      <c r="A243" s="637">
        <f>+A234+1</f>
        <v>14</v>
      </c>
      <c r="B243" s="485" t="s">
        <v>77</v>
      </c>
      <c r="C243" s="484"/>
      <c r="D243" s="484"/>
      <c r="E243" s="484"/>
      <c r="F243" s="484"/>
      <c r="G243" s="484"/>
      <c r="H243" s="484"/>
    </row>
    <row r="244" spans="1:10">
      <c r="A244" s="637"/>
      <c r="B244" s="480"/>
      <c r="C244" s="484"/>
      <c r="D244" s="484"/>
      <c r="E244" s="484"/>
      <c r="F244" s="484"/>
      <c r="G244" s="484"/>
      <c r="H244" s="484"/>
    </row>
    <row r="245" spans="1:10">
      <c r="A245" s="637">
        <f>+A243+1</f>
        <v>15</v>
      </c>
      <c r="B245" s="485" t="s">
        <v>78</v>
      </c>
      <c r="C245" s="484"/>
      <c r="D245" s="484"/>
      <c r="E245" s="484"/>
      <c r="F245" s="484"/>
      <c r="G245" s="484"/>
      <c r="H245" s="484"/>
    </row>
    <row r="246" spans="1:10">
      <c r="A246" s="637"/>
      <c r="B246" s="480"/>
      <c r="C246" s="397"/>
      <c r="D246" s="397"/>
      <c r="E246" s="484"/>
      <c r="F246" s="484"/>
      <c r="G246" s="484"/>
      <c r="H246" s="484"/>
    </row>
    <row r="247" spans="1:10">
      <c r="A247" s="637">
        <f>+A245+1</f>
        <v>16</v>
      </c>
      <c r="B247" s="485" t="s">
        <v>79</v>
      </c>
      <c r="C247" s="397"/>
      <c r="D247" s="397"/>
      <c r="E247" s="484"/>
      <c r="F247" s="484"/>
      <c r="G247" s="484"/>
      <c r="H247" s="484"/>
    </row>
    <row r="248" spans="1:10">
      <c r="A248" s="637"/>
      <c r="B248" s="480"/>
      <c r="C248" s="484"/>
      <c r="D248" s="484"/>
      <c r="E248" s="484"/>
      <c r="F248" s="484"/>
      <c r="G248" s="484"/>
      <c r="H248" s="484"/>
    </row>
    <row r="249" spans="1:10">
      <c r="A249" s="637">
        <f>+A247+1</f>
        <v>17</v>
      </c>
      <c r="B249" s="182" t="s">
        <v>80</v>
      </c>
      <c r="C249" s="484"/>
      <c r="D249" s="484"/>
      <c r="E249" s="484"/>
      <c r="F249" s="484"/>
      <c r="G249" s="484"/>
      <c r="H249" s="484"/>
    </row>
    <row r="250" spans="1:10">
      <c r="A250" s="637">
        <f>A249+1</f>
        <v>18</v>
      </c>
      <c r="B250" s="182" t="s">
        <v>81</v>
      </c>
      <c r="C250" s="484"/>
      <c r="D250" s="484"/>
      <c r="E250" s="484"/>
      <c r="F250" s="484"/>
      <c r="G250" s="484"/>
      <c r="H250" s="484"/>
    </row>
    <row r="251" spans="1:10">
      <c r="A251" s="642">
        <f>A250+0.01</f>
        <v>18.010000000000002</v>
      </c>
      <c r="B251" s="643" t="s">
        <v>32</v>
      </c>
      <c r="C251" s="644">
        <f>SUM(F251:H251)</f>
        <v>1524</v>
      </c>
      <c r="D251" s="644"/>
      <c r="E251" s="644"/>
      <c r="F251" s="643">
        <v>0</v>
      </c>
      <c r="G251" s="643">
        <v>1523</v>
      </c>
      <c r="H251" s="643">
        <v>1</v>
      </c>
    </row>
    <row r="252" spans="1:10">
      <c r="A252" s="642">
        <f>A251+0.01</f>
        <v>18.020000000000003</v>
      </c>
      <c r="B252" s="643" t="s">
        <v>33</v>
      </c>
      <c r="C252" s="644">
        <f>SUM(F252:H252)</f>
        <v>283135</v>
      </c>
      <c r="D252" s="644"/>
      <c r="E252" s="644"/>
      <c r="F252" s="643">
        <v>283135</v>
      </c>
      <c r="G252" s="643"/>
      <c r="H252" s="643"/>
    </row>
    <row r="253" spans="1:10">
      <c r="A253" s="637">
        <f>INT(A252)+1</f>
        <v>19</v>
      </c>
      <c r="B253" s="485"/>
      <c r="C253" s="484"/>
      <c r="D253" s="484"/>
      <c r="E253" s="484"/>
      <c r="F253" s="484"/>
      <c r="G253" s="484"/>
      <c r="H253" s="484"/>
    </row>
    <row r="254" spans="1:10">
      <c r="A254" s="637">
        <f>A253+1</f>
        <v>20</v>
      </c>
      <c r="B254" s="182" t="s">
        <v>82</v>
      </c>
      <c r="C254" s="486">
        <f>SUM(C251:C253)</f>
        <v>284659</v>
      </c>
      <c r="D254" s="486">
        <f>SUM(D251:D253)</f>
        <v>0</v>
      </c>
      <c r="E254" s="484"/>
      <c r="F254" s="486">
        <f>SUM(F251:F253)</f>
        <v>283135</v>
      </c>
      <c r="G254" s="486">
        <f>SUM(G251:G253)</f>
        <v>1523</v>
      </c>
      <c r="H254" s="486">
        <f>SUM(H251:H253)</f>
        <v>1</v>
      </c>
      <c r="I254" s="406">
        <f>SUM(F254:H254)</f>
        <v>284659</v>
      </c>
      <c r="J254" s="672" t="s">
        <v>1095</v>
      </c>
    </row>
  </sheetData>
  <pageMargins left="0.5" right="0.5" top="0.5" bottom="0.5" header="0.5" footer="0.25"/>
  <pageSetup paperSize="5" scale="61" fitToHeight="0" orientation="landscape" r:id="rId1"/>
  <headerFooter alignWithMargins="0">
    <oddFooter>&amp;C&amp;A</oddFooter>
  </headerFooter>
  <rowBreaks count="2" manualBreakCount="2">
    <brk id="95" max="9" man="1"/>
    <brk id="241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autoPageBreaks="0" fitToPage="1"/>
  </sheetPr>
  <dimension ref="A1:J136"/>
  <sheetViews>
    <sheetView showOutlineSymbols="0" topLeftCell="A10" zoomScale="85" zoomScaleNormal="85" zoomScaleSheetLayoutView="85" workbookViewId="0">
      <pane xSplit="2" ySplit="1" topLeftCell="C92" activePane="bottomRight" state="frozen"/>
      <selection activeCell="F93" sqref="F93:H93"/>
      <selection pane="topRight" activeCell="F93" sqref="F93:H93"/>
      <selection pane="bottomLeft" activeCell="F93" sqref="F93:H93"/>
      <selection pane="bottomRight" activeCell="L121" sqref="L121"/>
    </sheetView>
  </sheetViews>
  <sheetFormatPr defaultColWidth="12.5703125" defaultRowHeight="12.75"/>
  <cols>
    <col min="1" max="1" width="5.85546875" style="413" customWidth="1"/>
    <col min="2" max="2" width="50" style="406" customWidth="1"/>
    <col min="3" max="3" width="29.5703125" style="414" customWidth="1"/>
    <col min="4" max="4" width="34.42578125" style="414" customWidth="1"/>
    <col min="5" max="5" width="8.5703125" style="414" customWidth="1"/>
    <col min="6" max="6" width="18.7109375" style="414" customWidth="1"/>
    <col min="7" max="7" width="21.85546875" style="414" customWidth="1"/>
    <col min="8" max="8" width="23.42578125" style="414" customWidth="1"/>
    <col min="9" max="216" width="12.5703125" style="414"/>
    <col min="217" max="217" width="5.85546875" style="414" customWidth="1"/>
    <col min="218" max="218" width="48.42578125" style="414" customWidth="1"/>
    <col min="219" max="219" width="14.140625" style="414" customWidth="1"/>
    <col min="220" max="220" width="13.5703125" style="414" customWidth="1"/>
    <col min="221" max="221" width="15.85546875" style="414" customWidth="1"/>
    <col min="222" max="222" width="16.42578125" style="414" customWidth="1"/>
    <col min="223" max="223" width="18.42578125" style="414" customWidth="1"/>
    <col min="224" max="224" width="3.140625" style="414" customWidth="1"/>
    <col min="225" max="227" width="18.42578125" style="414" customWidth="1"/>
    <col min="228" max="228" width="3" style="414" customWidth="1"/>
    <col min="229" max="229" width="14" style="414" customWidth="1"/>
    <col min="230" max="230" width="15.85546875" style="414" customWidth="1"/>
    <col min="231" max="231" width="15.140625" style="414" customWidth="1"/>
    <col min="232" max="232" width="2.85546875" style="414" customWidth="1"/>
    <col min="233" max="233" width="14.140625" style="414" customWidth="1"/>
    <col min="234" max="234" width="15.85546875" style="414" customWidth="1"/>
    <col min="235" max="235" width="19.42578125" style="414" customWidth="1"/>
    <col min="236" max="236" width="17.5703125" style="414" bestFit="1" customWidth="1"/>
    <col min="237" max="472" width="12.5703125" style="414"/>
    <col min="473" max="473" width="5.85546875" style="414" customWidth="1"/>
    <col min="474" max="474" width="48.42578125" style="414" customWidth="1"/>
    <col min="475" max="475" width="14.140625" style="414" customWidth="1"/>
    <col min="476" max="476" width="13.5703125" style="414" customWidth="1"/>
    <col min="477" max="477" width="15.85546875" style="414" customWidth="1"/>
    <col min="478" max="478" width="16.42578125" style="414" customWidth="1"/>
    <col min="479" max="479" width="18.42578125" style="414" customWidth="1"/>
    <col min="480" max="480" width="3.140625" style="414" customWidth="1"/>
    <col min="481" max="483" width="18.42578125" style="414" customWidth="1"/>
    <col min="484" max="484" width="3" style="414" customWidth="1"/>
    <col min="485" max="485" width="14" style="414" customWidth="1"/>
    <col min="486" max="486" width="15.85546875" style="414" customWidth="1"/>
    <col min="487" max="487" width="15.140625" style="414" customWidth="1"/>
    <col min="488" max="488" width="2.85546875" style="414" customWidth="1"/>
    <col min="489" max="489" width="14.140625" style="414" customWidth="1"/>
    <col min="490" max="490" width="15.85546875" style="414" customWidth="1"/>
    <col min="491" max="491" width="19.42578125" style="414" customWidth="1"/>
    <col min="492" max="492" width="17.5703125" style="414" bestFit="1" customWidth="1"/>
    <col min="493" max="728" width="12.5703125" style="414"/>
    <col min="729" max="729" width="5.85546875" style="414" customWidth="1"/>
    <col min="730" max="730" width="48.42578125" style="414" customWidth="1"/>
    <col min="731" max="731" width="14.140625" style="414" customWidth="1"/>
    <col min="732" max="732" width="13.5703125" style="414" customWidth="1"/>
    <col min="733" max="733" width="15.85546875" style="414" customWidth="1"/>
    <col min="734" max="734" width="16.42578125" style="414" customWidth="1"/>
    <col min="735" max="735" width="18.42578125" style="414" customWidth="1"/>
    <col min="736" max="736" width="3.140625" style="414" customWidth="1"/>
    <col min="737" max="739" width="18.42578125" style="414" customWidth="1"/>
    <col min="740" max="740" width="3" style="414" customWidth="1"/>
    <col min="741" max="741" width="14" style="414" customWidth="1"/>
    <col min="742" max="742" width="15.85546875" style="414" customWidth="1"/>
    <col min="743" max="743" width="15.140625" style="414" customWidth="1"/>
    <col min="744" max="744" width="2.85546875" style="414" customWidth="1"/>
    <col min="745" max="745" width="14.140625" style="414" customWidth="1"/>
    <col min="746" max="746" width="15.85546875" style="414" customWidth="1"/>
    <col min="747" max="747" width="19.42578125" style="414" customWidth="1"/>
    <col min="748" max="748" width="17.5703125" style="414" bestFit="1" customWidth="1"/>
    <col min="749" max="984" width="12.5703125" style="414"/>
    <col min="985" max="985" width="5.85546875" style="414" customWidth="1"/>
    <col min="986" max="986" width="48.42578125" style="414" customWidth="1"/>
    <col min="987" max="987" width="14.140625" style="414" customWidth="1"/>
    <col min="988" max="988" width="13.5703125" style="414" customWidth="1"/>
    <col min="989" max="989" width="15.85546875" style="414" customWidth="1"/>
    <col min="990" max="990" width="16.42578125" style="414" customWidth="1"/>
    <col min="991" max="991" width="18.42578125" style="414" customWidth="1"/>
    <col min="992" max="992" width="3.140625" style="414" customWidth="1"/>
    <col min="993" max="995" width="18.42578125" style="414" customWidth="1"/>
    <col min="996" max="996" width="3" style="414" customWidth="1"/>
    <col min="997" max="997" width="14" style="414" customWidth="1"/>
    <col min="998" max="998" width="15.85546875" style="414" customWidth="1"/>
    <col min="999" max="999" width="15.140625" style="414" customWidth="1"/>
    <col min="1000" max="1000" width="2.85546875" style="414" customWidth="1"/>
    <col min="1001" max="1001" width="14.140625" style="414" customWidth="1"/>
    <col min="1002" max="1002" width="15.85546875" style="414" customWidth="1"/>
    <col min="1003" max="1003" width="19.42578125" style="414" customWidth="1"/>
    <col min="1004" max="1004" width="17.5703125" style="414" bestFit="1" customWidth="1"/>
    <col min="1005" max="1240" width="12.5703125" style="414"/>
    <col min="1241" max="1241" width="5.85546875" style="414" customWidth="1"/>
    <col min="1242" max="1242" width="48.42578125" style="414" customWidth="1"/>
    <col min="1243" max="1243" width="14.140625" style="414" customWidth="1"/>
    <col min="1244" max="1244" width="13.5703125" style="414" customWidth="1"/>
    <col min="1245" max="1245" width="15.85546875" style="414" customWidth="1"/>
    <col min="1246" max="1246" width="16.42578125" style="414" customWidth="1"/>
    <col min="1247" max="1247" width="18.42578125" style="414" customWidth="1"/>
    <col min="1248" max="1248" width="3.140625" style="414" customWidth="1"/>
    <col min="1249" max="1251" width="18.42578125" style="414" customWidth="1"/>
    <col min="1252" max="1252" width="3" style="414" customWidth="1"/>
    <col min="1253" max="1253" width="14" style="414" customWidth="1"/>
    <col min="1254" max="1254" width="15.85546875" style="414" customWidth="1"/>
    <col min="1255" max="1255" width="15.140625" style="414" customWidth="1"/>
    <col min="1256" max="1256" width="2.85546875" style="414" customWidth="1"/>
    <col min="1257" max="1257" width="14.140625" style="414" customWidth="1"/>
    <col min="1258" max="1258" width="15.85546875" style="414" customWidth="1"/>
    <col min="1259" max="1259" width="19.42578125" style="414" customWidth="1"/>
    <col min="1260" max="1260" width="17.5703125" style="414" bestFit="1" customWidth="1"/>
    <col min="1261" max="1496" width="12.5703125" style="414"/>
    <col min="1497" max="1497" width="5.85546875" style="414" customWidth="1"/>
    <col min="1498" max="1498" width="48.42578125" style="414" customWidth="1"/>
    <col min="1499" max="1499" width="14.140625" style="414" customWidth="1"/>
    <col min="1500" max="1500" width="13.5703125" style="414" customWidth="1"/>
    <col min="1501" max="1501" width="15.85546875" style="414" customWidth="1"/>
    <col min="1502" max="1502" width="16.42578125" style="414" customWidth="1"/>
    <col min="1503" max="1503" width="18.42578125" style="414" customWidth="1"/>
    <col min="1504" max="1504" width="3.140625" style="414" customWidth="1"/>
    <col min="1505" max="1507" width="18.42578125" style="414" customWidth="1"/>
    <col min="1508" max="1508" width="3" style="414" customWidth="1"/>
    <col min="1509" max="1509" width="14" style="414" customWidth="1"/>
    <col min="1510" max="1510" width="15.85546875" style="414" customWidth="1"/>
    <col min="1511" max="1511" width="15.140625" style="414" customWidth="1"/>
    <col min="1512" max="1512" width="2.85546875" style="414" customWidth="1"/>
    <col min="1513" max="1513" width="14.140625" style="414" customWidth="1"/>
    <col min="1514" max="1514" width="15.85546875" style="414" customWidth="1"/>
    <col min="1515" max="1515" width="19.42578125" style="414" customWidth="1"/>
    <col min="1516" max="1516" width="17.5703125" style="414" bestFit="1" customWidth="1"/>
    <col min="1517" max="1752" width="12.5703125" style="414"/>
    <col min="1753" max="1753" width="5.85546875" style="414" customWidth="1"/>
    <col min="1754" max="1754" width="48.42578125" style="414" customWidth="1"/>
    <col min="1755" max="1755" width="14.140625" style="414" customWidth="1"/>
    <col min="1756" max="1756" width="13.5703125" style="414" customWidth="1"/>
    <col min="1757" max="1757" width="15.85546875" style="414" customWidth="1"/>
    <col min="1758" max="1758" width="16.42578125" style="414" customWidth="1"/>
    <col min="1759" max="1759" width="18.42578125" style="414" customWidth="1"/>
    <col min="1760" max="1760" width="3.140625" style="414" customWidth="1"/>
    <col min="1761" max="1763" width="18.42578125" style="414" customWidth="1"/>
    <col min="1764" max="1764" width="3" style="414" customWidth="1"/>
    <col min="1765" max="1765" width="14" style="414" customWidth="1"/>
    <col min="1766" max="1766" width="15.85546875" style="414" customWidth="1"/>
    <col min="1767" max="1767" width="15.140625" style="414" customWidth="1"/>
    <col min="1768" max="1768" width="2.85546875" style="414" customWidth="1"/>
    <col min="1769" max="1769" width="14.140625" style="414" customWidth="1"/>
    <col min="1770" max="1770" width="15.85546875" style="414" customWidth="1"/>
    <col min="1771" max="1771" width="19.42578125" style="414" customWidth="1"/>
    <col min="1772" max="1772" width="17.5703125" style="414" bestFit="1" customWidth="1"/>
    <col min="1773" max="2008" width="12.5703125" style="414"/>
    <col min="2009" max="2009" width="5.85546875" style="414" customWidth="1"/>
    <col min="2010" max="2010" width="48.42578125" style="414" customWidth="1"/>
    <col min="2011" max="2011" width="14.140625" style="414" customWidth="1"/>
    <col min="2012" max="2012" width="13.5703125" style="414" customWidth="1"/>
    <col min="2013" max="2013" width="15.85546875" style="414" customWidth="1"/>
    <col min="2014" max="2014" width="16.42578125" style="414" customWidth="1"/>
    <col min="2015" max="2015" width="18.42578125" style="414" customWidth="1"/>
    <col min="2016" max="2016" width="3.140625" style="414" customWidth="1"/>
    <col min="2017" max="2019" width="18.42578125" style="414" customWidth="1"/>
    <col min="2020" max="2020" width="3" style="414" customWidth="1"/>
    <col min="2021" max="2021" width="14" style="414" customWidth="1"/>
    <col min="2022" max="2022" width="15.85546875" style="414" customWidth="1"/>
    <col min="2023" max="2023" width="15.140625" style="414" customWidth="1"/>
    <col min="2024" max="2024" width="2.85546875" style="414" customWidth="1"/>
    <col min="2025" max="2025" width="14.140625" style="414" customWidth="1"/>
    <col min="2026" max="2026" width="15.85546875" style="414" customWidth="1"/>
    <col min="2027" max="2027" width="19.42578125" style="414" customWidth="1"/>
    <col min="2028" max="2028" width="17.5703125" style="414" bestFit="1" customWidth="1"/>
    <col min="2029" max="2264" width="12.5703125" style="414"/>
    <col min="2265" max="2265" width="5.85546875" style="414" customWidth="1"/>
    <col min="2266" max="2266" width="48.42578125" style="414" customWidth="1"/>
    <col min="2267" max="2267" width="14.140625" style="414" customWidth="1"/>
    <col min="2268" max="2268" width="13.5703125" style="414" customWidth="1"/>
    <col min="2269" max="2269" width="15.85546875" style="414" customWidth="1"/>
    <col min="2270" max="2270" width="16.42578125" style="414" customWidth="1"/>
    <col min="2271" max="2271" width="18.42578125" style="414" customWidth="1"/>
    <col min="2272" max="2272" width="3.140625" style="414" customWidth="1"/>
    <col min="2273" max="2275" width="18.42578125" style="414" customWidth="1"/>
    <col min="2276" max="2276" width="3" style="414" customWidth="1"/>
    <col min="2277" max="2277" width="14" style="414" customWidth="1"/>
    <col min="2278" max="2278" width="15.85546875" style="414" customWidth="1"/>
    <col min="2279" max="2279" width="15.140625" style="414" customWidth="1"/>
    <col min="2280" max="2280" width="2.85546875" style="414" customWidth="1"/>
    <col min="2281" max="2281" width="14.140625" style="414" customWidth="1"/>
    <col min="2282" max="2282" width="15.85546875" style="414" customWidth="1"/>
    <col min="2283" max="2283" width="19.42578125" style="414" customWidth="1"/>
    <col min="2284" max="2284" width="17.5703125" style="414" bestFit="1" customWidth="1"/>
    <col min="2285" max="2520" width="12.5703125" style="414"/>
    <col min="2521" max="2521" width="5.85546875" style="414" customWidth="1"/>
    <col min="2522" max="2522" width="48.42578125" style="414" customWidth="1"/>
    <col min="2523" max="2523" width="14.140625" style="414" customWidth="1"/>
    <col min="2524" max="2524" width="13.5703125" style="414" customWidth="1"/>
    <col min="2525" max="2525" width="15.85546875" style="414" customWidth="1"/>
    <col min="2526" max="2526" width="16.42578125" style="414" customWidth="1"/>
    <col min="2527" max="2527" width="18.42578125" style="414" customWidth="1"/>
    <col min="2528" max="2528" width="3.140625" style="414" customWidth="1"/>
    <col min="2529" max="2531" width="18.42578125" style="414" customWidth="1"/>
    <col min="2532" max="2532" width="3" style="414" customWidth="1"/>
    <col min="2533" max="2533" width="14" style="414" customWidth="1"/>
    <col min="2534" max="2534" width="15.85546875" style="414" customWidth="1"/>
    <col min="2535" max="2535" width="15.140625" style="414" customWidth="1"/>
    <col min="2536" max="2536" width="2.85546875" style="414" customWidth="1"/>
    <col min="2537" max="2537" width="14.140625" style="414" customWidth="1"/>
    <col min="2538" max="2538" width="15.85546875" style="414" customWidth="1"/>
    <col min="2539" max="2539" width="19.42578125" style="414" customWidth="1"/>
    <col min="2540" max="2540" width="17.5703125" style="414" bestFit="1" customWidth="1"/>
    <col min="2541" max="2776" width="12.5703125" style="414"/>
    <col min="2777" max="2777" width="5.85546875" style="414" customWidth="1"/>
    <col min="2778" max="2778" width="48.42578125" style="414" customWidth="1"/>
    <col min="2779" max="2779" width="14.140625" style="414" customWidth="1"/>
    <col min="2780" max="2780" width="13.5703125" style="414" customWidth="1"/>
    <col min="2781" max="2781" width="15.85546875" style="414" customWidth="1"/>
    <col min="2782" max="2782" width="16.42578125" style="414" customWidth="1"/>
    <col min="2783" max="2783" width="18.42578125" style="414" customWidth="1"/>
    <col min="2784" max="2784" width="3.140625" style="414" customWidth="1"/>
    <col min="2785" max="2787" width="18.42578125" style="414" customWidth="1"/>
    <col min="2788" max="2788" width="3" style="414" customWidth="1"/>
    <col min="2789" max="2789" width="14" style="414" customWidth="1"/>
    <col min="2790" max="2790" width="15.85546875" style="414" customWidth="1"/>
    <col min="2791" max="2791" width="15.140625" style="414" customWidth="1"/>
    <col min="2792" max="2792" width="2.85546875" style="414" customWidth="1"/>
    <col min="2793" max="2793" width="14.140625" style="414" customWidth="1"/>
    <col min="2794" max="2794" width="15.85546875" style="414" customWidth="1"/>
    <col min="2795" max="2795" width="19.42578125" style="414" customWidth="1"/>
    <col min="2796" max="2796" width="17.5703125" style="414" bestFit="1" customWidth="1"/>
    <col min="2797" max="3032" width="12.5703125" style="414"/>
    <col min="3033" max="3033" width="5.85546875" style="414" customWidth="1"/>
    <col min="3034" max="3034" width="48.42578125" style="414" customWidth="1"/>
    <col min="3035" max="3035" width="14.140625" style="414" customWidth="1"/>
    <col min="3036" max="3036" width="13.5703125" style="414" customWidth="1"/>
    <col min="3037" max="3037" width="15.85546875" style="414" customWidth="1"/>
    <col min="3038" max="3038" width="16.42578125" style="414" customWidth="1"/>
    <col min="3039" max="3039" width="18.42578125" style="414" customWidth="1"/>
    <col min="3040" max="3040" width="3.140625" style="414" customWidth="1"/>
    <col min="3041" max="3043" width="18.42578125" style="414" customWidth="1"/>
    <col min="3044" max="3044" width="3" style="414" customWidth="1"/>
    <col min="3045" max="3045" width="14" style="414" customWidth="1"/>
    <col min="3046" max="3046" width="15.85546875" style="414" customWidth="1"/>
    <col min="3047" max="3047" width="15.140625" style="414" customWidth="1"/>
    <col min="3048" max="3048" width="2.85546875" style="414" customWidth="1"/>
    <col min="3049" max="3049" width="14.140625" style="414" customWidth="1"/>
    <col min="3050" max="3050" width="15.85546875" style="414" customWidth="1"/>
    <col min="3051" max="3051" width="19.42578125" style="414" customWidth="1"/>
    <col min="3052" max="3052" width="17.5703125" style="414" bestFit="1" customWidth="1"/>
    <col min="3053" max="3288" width="12.5703125" style="414"/>
    <col min="3289" max="3289" width="5.85546875" style="414" customWidth="1"/>
    <col min="3290" max="3290" width="48.42578125" style="414" customWidth="1"/>
    <col min="3291" max="3291" width="14.140625" style="414" customWidth="1"/>
    <col min="3292" max="3292" width="13.5703125" style="414" customWidth="1"/>
    <col min="3293" max="3293" width="15.85546875" style="414" customWidth="1"/>
    <col min="3294" max="3294" width="16.42578125" style="414" customWidth="1"/>
    <col min="3295" max="3295" width="18.42578125" style="414" customWidth="1"/>
    <col min="3296" max="3296" width="3.140625" style="414" customWidth="1"/>
    <col min="3297" max="3299" width="18.42578125" style="414" customWidth="1"/>
    <col min="3300" max="3300" width="3" style="414" customWidth="1"/>
    <col min="3301" max="3301" width="14" style="414" customWidth="1"/>
    <col min="3302" max="3302" width="15.85546875" style="414" customWidth="1"/>
    <col min="3303" max="3303" width="15.140625" style="414" customWidth="1"/>
    <col min="3304" max="3304" width="2.85546875" style="414" customWidth="1"/>
    <col min="3305" max="3305" width="14.140625" style="414" customWidth="1"/>
    <col min="3306" max="3306" width="15.85546875" style="414" customWidth="1"/>
    <col min="3307" max="3307" width="19.42578125" style="414" customWidth="1"/>
    <col min="3308" max="3308" width="17.5703125" style="414" bestFit="1" customWidth="1"/>
    <col min="3309" max="3544" width="12.5703125" style="414"/>
    <col min="3545" max="3545" width="5.85546875" style="414" customWidth="1"/>
    <col min="3546" max="3546" width="48.42578125" style="414" customWidth="1"/>
    <col min="3547" max="3547" width="14.140625" style="414" customWidth="1"/>
    <col min="3548" max="3548" width="13.5703125" style="414" customWidth="1"/>
    <col min="3549" max="3549" width="15.85546875" style="414" customWidth="1"/>
    <col min="3550" max="3550" width="16.42578125" style="414" customWidth="1"/>
    <col min="3551" max="3551" width="18.42578125" style="414" customWidth="1"/>
    <col min="3552" max="3552" width="3.140625" style="414" customWidth="1"/>
    <col min="3553" max="3555" width="18.42578125" style="414" customWidth="1"/>
    <col min="3556" max="3556" width="3" style="414" customWidth="1"/>
    <col min="3557" max="3557" width="14" style="414" customWidth="1"/>
    <col min="3558" max="3558" width="15.85546875" style="414" customWidth="1"/>
    <col min="3559" max="3559" width="15.140625" style="414" customWidth="1"/>
    <col min="3560" max="3560" width="2.85546875" style="414" customWidth="1"/>
    <col min="3561" max="3561" width="14.140625" style="414" customWidth="1"/>
    <col min="3562" max="3562" width="15.85546875" style="414" customWidth="1"/>
    <col min="3563" max="3563" width="19.42578125" style="414" customWidth="1"/>
    <col min="3564" max="3564" width="17.5703125" style="414" bestFit="1" customWidth="1"/>
    <col min="3565" max="3800" width="12.5703125" style="414"/>
    <col min="3801" max="3801" width="5.85546875" style="414" customWidth="1"/>
    <col min="3802" max="3802" width="48.42578125" style="414" customWidth="1"/>
    <col min="3803" max="3803" width="14.140625" style="414" customWidth="1"/>
    <col min="3804" max="3804" width="13.5703125" style="414" customWidth="1"/>
    <col min="3805" max="3805" width="15.85546875" style="414" customWidth="1"/>
    <col min="3806" max="3806" width="16.42578125" style="414" customWidth="1"/>
    <col min="3807" max="3807" width="18.42578125" style="414" customWidth="1"/>
    <col min="3808" max="3808" width="3.140625" style="414" customWidth="1"/>
    <col min="3809" max="3811" width="18.42578125" style="414" customWidth="1"/>
    <col min="3812" max="3812" width="3" style="414" customWidth="1"/>
    <col min="3813" max="3813" width="14" style="414" customWidth="1"/>
    <col min="3814" max="3814" width="15.85546875" style="414" customWidth="1"/>
    <col min="3815" max="3815" width="15.140625" style="414" customWidth="1"/>
    <col min="3816" max="3816" width="2.85546875" style="414" customWidth="1"/>
    <col min="3817" max="3817" width="14.140625" style="414" customWidth="1"/>
    <col min="3818" max="3818" width="15.85546875" style="414" customWidth="1"/>
    <col min="3819" max="3819" width="19.42578125" style="414" customWidth="1"/>
    <col min="3820" max="3820" width="17.5703125" style="414" bestFit="1" customWidth="1"/>
    <col min="3821" max="4056" width="12.5703125" style="414"/>
    <col min="4057" max="4057" width="5.85546875" style="414" customWidth="1"/>
    <col min="4058" max="4058" width="48.42578125" style="414" customWidth="1"/>
    <col min="4059" max="4059" width="14.140625" style="414" customWidth="1"/>
    <col min="4060" max="4060" width="13.5703125" style="414" customWidth="1"/>
    <col min="4061" max="4061" width="15.85546875" style="414" customWidth="1"/>
    <col min="4062" max="4062" width="16.42578125" style="414" customWidth="1"/>
    <col min="4063" max="4063" width="18.42578125" style="414" customWidth="1"/>
    <col min="4064" max="4064" width="3.140625" style="414" customWidth="1"/>
    <col min="4065" max="4067" width="18.42578125" style="414" customWidth="1"/>
    <col min="4068" max="4068" width="3" style="414" customWidth="1"/>
    <col min="4069" max="4069" width="14" style="414" customWidth="1"/>
    <col min="4070" max="4070" width="15.85546875" style="414" customWidth="1"/>
    <col min="4071" max="4071" width="15.140625" style="414" customWidth="1"/>
    <col min="4072" max="4072" width="2.85546875" style="414" customWidth="1"/>
    <col min="4073" max="4073" width="14.140625" style="414" customWidth="1"/>
    <col min="4074" max="4074" width="15.85546875" style="414" customWidth="1"/>
    <col min="4075" max="4075" width="19.42578125" style="414" customWidth="1"/>
    <col min="4076" max="4076" width="17.5703125" style="414" bestFit="1" customWidth="1"/>
    <col min="4077" max="4312" width="12.5703125" style="414"/>
    <col min="4313" max="4313" width="5.85546875" style="414" customWidth="1"/>
    <col min="4314" max="4314" width="48.42578125" style="414" customWidth="1"/>
    <col min="4315" max="4315" width="14.140625" style="414" customWidth="1"/>
    <col min="4316" max="4316" width="13.5703125" style="414" customWidth="1"/>
    <col min="4317" max="4317" width="15.85546875" style="414" customWidth="1"/>
    <col min="4318" max="4318" width="16.42578125" style="414" customWidth="1"/>
    <col min="4319" max="4319" width="18.42578125" style="414" customWidth="1"/>
    <col min="4320" max="4320" width="3.140625" style="414" customWidth="1"/>
    <col min="4321" max="4323" width="18.42578125" style="414" customWidth="1"/>
    <col min="4324" max="4324" width="3" style="414" customWidth="1"/>
    <col min="4325" max="4325" width="14" style="414" customWidth="1"/>
    <col min="4326" max="4326" width="15.85546875" style="414" customWidth="1"/>
    <col min="4327" max="4327" width="15.140625" style="414" customWidth="1"/>
    <col min="4328" max="4328" width="2.85546875" style="414" customWidth="1"/>
    <col min="4329" max="4329" width="14.140625" style="414" customWidth="1"/>
    <col min="4330" max="4330" width="15.85546875" style="414" customWidth="1"/>
    <col min="4331" max="4331" width="19.42578125" style="414" customWidth="1"/>
    <col min="4332" max="4332" width="17.5703125" style="414" bestFit="1" customWidth="1"/>
    <col min="4333" max="4568" width="12.5703125" style="414"/>
    <col min="4569" max="4569" width="5.85546875" style="414" customWidth="1"/>
    <col min="4570" max="4570" width="48.42578125" style="414" customWidth="1"/>
    <col min="4571" max="4571" width="14.140625" style="414" customWidth="1"/>
    <col min="4572" max="4572" width="13.5703125" style="414" customWidth="1"/>
    <col min="4573" max="4573" width="15.85546875" style="414" customWidth="1"/>
    <col min="4574" max="4574" width="16.42578125" style="414" customWidth="1"/>
    <col min="4575" max="4575" width="18.42578125" style="414" customWidth="1"/>
    <col min="4576" max="4576" width="3.140625" style="414" customWidth="1"/>
    <col min="4577" max="4579" width="18.42578125" style="414" customWidth="1"/>
    <col min="4580" max="4580" width="3" style="414" customWidth="1"/>
    <col min="4581" max="4581" width="14" style="414" customWidth="1"/>
    <col min="4582" max="4582" width="15.85546875" style="414" customWidth="1"/>
    <col min="4583" max="4583" width="15.140625" style="414" customWidth="1"/>
    <col min="4584" max="4584" width="2.85546875" style="414" customWidth="1"/>
    <col min="4585" max="4585" width="14.140625" style="414" customWidth="1"/>
    <col min="4586" max="4586" width="15.85546875" style="414" customWidth="1"/>
    <col min="4587" max="4587" width="19.42578125" style="414" customWidth="1"/>
    <col min="4588" max="4588" width="17.5703125" style="414" bestFit="1" customWidth="1"/>
    <col min="4589" max="4824" width="12.5703125" style="414"/>
    <col min="4825" max="4825" width="5.85546875" style="414" customWidth="1"/>
    <col min="4826" max="4826" width="48.42578125" style="414" customWidth="1"/>
    <col min="4827" max="4827" width="14.140625" style="414" customWidth="1"/>
    <col min="4828" max="4828" width="13.5703125" style="414" customWidth="1"/>
    <col min="4829" max="4829" width="15.85546875" style="414" customWidth="1"/>
    <col min="4830" max="4830" width="16.42578125" style="414" customWidth="1"/>
    <col min="4831" max="4831" width="18.42578125" style="414" customWidth="1"/>
    <col min="4832" max="4832" width="3.140625" style="414" customWidth="1"/>
    <col min="4833" max="4835" width="18.42578125" style="414" customWidth="1"/>
    <col min="4836" max="4836" width="3" style="414" customWidth="1"/>
    <col min="4837" max="4837" width="14" style="414" customWidth="1"/>
    <col min="4838" max="4838" width="15.85546875" style="414" customWidth="1"/>
    <col min="4839" max="4839" width="15.140625" style="414" customWidth="1"/>
    <col min="4840" max="4840" width="2.85546875" style="414" customWidth="1"/>
    <col min="4841" max="4841" width="14.140625" style="414" customWidth="1"/>
    <col min="4842" max="4842" width="15.85546875" style="414" customWidth="1"/>
    <col min="4843" max="4843" width="19.42578125" style="414" customWidth="1"/>
    <col min="4844" max="4844" width="17.5703125" style="414" bestFit="1" customWidth="1"/>
    <col min="4845" max="5080" width="12.5703125" style="414"/>
    <col min="5081" max="5081" width="5.85546875" style="414" customWidth="1"/>
    <col min="5082" max="5082" width="48.42578125" style="414" customWidth="1"/>
    <col min="5083" max="5083" width="14.140625" style="414" customWidth="1"/>
    <col min="5084" max="5084" width="13.5703125" style="414" customWidth="1"/>
    <col min="5085" max="5085" width="15.85546875" style="414" customWidth="1"/>
    <col min="5086" max="5086" width="16.42578125" style="414" customWidth="1"/>
    <col min="5087" max="5087" width="18.42578125" style="414" customWidth="1"/>
    <col min="5088" max="5088" width="3.140625" style="414" customWidth="1"/>
    <col min="5089" max="5091" width="18.42578125" style="414" customWidth="1"/>
    <col min="5092" max="5092" width="3" style="414" customWidth="1"/>
    <col min="5093" max="5093" width="14" style="414" customWidth="1"/>
    <col min="5094" max="5094" width="15.85546875" style="414" customWidth="1"/>
    <col min="5095" max="5095" width="15.140625" style="414" customWidth="1"/>
    <col min="5096" max="5096" width="2.85546875" style="414" customWidth="1"/>
    <col min="5097" max="5097" width="14.140625" style="414" customWidth="1"/>
    <col min="5098" max="5098" width="15.85546875" style="414" customWidth="1"/>
    <col min="5099" max="5099" width="19.42578125" style="414" customWidth="1"/>
    <col min="5100" max="5100" width="17.5703125" style="414" bestFit="1" customWidth="1"/>
    <col min="5101" max="5336" width="12.5703125" style="414"/>
    <col min="5337" max="5337" width="5.85546875" style="414" customWidth="1"/>
    <col min="5338" max="5338" width="48.42578125" style="414" customWidth="1"/>
    <col min="5339" max="5339" width="14.140625" style="414" customWidth="1"/>
    <col min="5340" max="5340" width="13.5703125" style="414" customWidth="1"/>
    <col min="5341" max="5341" width="15.85546875" style="414" customWidth="1"/>
    <col min="5342" max="5342" width="16.42578125" style="414" customWidth="1"/>
    <col min="5343" max="5343" width="18.42578125" style="414" customWidth="1"/>
    <col min="5344" max="5344" width="3.140625" style="414" customWidth="1"/>
    <col min="5345" max="5347" width="18.42578125" style="414" customWidth="1"/>
    <col min="5348" max="5348" width="3" style="414" customWidth="1"/>
    <col min="5349" max="5349" width="14" style="414" customWidth="1"/>
    <col min="5350" max="5350" width="15.85546875" style="414" customWidth="1"/>
    <col min="5351" max="5351" width="15.140625" style="414" customWidth="1"/>
    <col min="5352" max="5352" width="2.85546875" style="414" customWidth="1"/>
    <col min="5353" max="5353" width="14.140625" style="414" customWidth="1"/>
    <col min="5354" max="5354" width="15.85546875" style="414" customWidth="1"/>
    <col min="5355" max="5355" width="19.42578125" style="414" customWidth="1"/>
    <col min="5356" max="5356" width="17.5703125" style="414" bestFit="1" customWidth="1"/>
    <col min="5357" max="5592" width="12.5703125" style="414"/>
    <col min="5593" max="5593" width="5.85546875" style="414" customWidth="1"/>
    <col min="5594" max="5594" width="48.42578125" style="414" customWidth="1"/>
    <col min="5595" max="5595" width="14.140625" style="414" customWidth="1"/>
    <col min="5596" max="5596" width="13.5703125" style="414" customWidth="1"/>
    <col min="5597" max="5597" width="15.85546875" style="414" customWidth="1"/>
    <col min="5598" max="5598" width="16.42578125" style="414" customWidth="1"/>
    <col min="5599" max="5599" width="18.42578125" style="414" customWidth="1"/>
    <col min="5600" max="5600" width="3.140625" style="414" customWidth="1"/>
    <col min="5601" max="5603" width="18.42578125" style="414" customWidth="1"/>
    <col min="5604" max="5604" width="3" style="414" customWidth="1"/>
    <col min="5605" max="5605" width="14" style="414" customWidth="1"/>
    <col min="5606" max="5606" width="15.85546875" style="414" customWidth="1"/>
    <col min="5607" max="5607" width="15.140625" style="414" customWidth="1"/>
    <col min="5608" max="5608" width="2.85546875" style="414" customWidth="1"/>
    <col min="5609" max="5609" width="14.140625" style="414" customWidth="1"/>
    <col min="5610" max="5610" width="15.85546875" style="414" customWidth="1"/>
    <col min="5611" max="5611" width="19.42578125" style="414" customWidth="1"/>
    <col min="5612" max="5612" width="17.5703125" style="414" bestFit="1" customWidth="1"/>
    <col min="5613" max="5848" width="12.5703125" style="414"/>
    <col min="5849" max="5849" width="5.85546875" style="414" customWidth="1"/>
    <col min="5850" max="5850" width="48.42578125" style="414" customWidth="1"/>
    <col min="5851" max="5851" width="14.140625" style="414" customWidth="1"/>
    <col min="5852" max="5852" width="13.5703125" style="414" customWidth="1"/>
    <col min="5853" max="5853" width="15.85546875" style="414" customWidth="1"/>
    <col min="5854" max="5854" width="16.42578125" style="414" customWidth="1"/>
    <col min="5855" max="5855" width="18.42578125" style="414" customWidth="1"/>
    <col min="5856" max="5856" width="3.140625" style="414" customWidth="1"/>
    <col min="5857" max="5859" width="18.42578125" style="414" customWidth="1"/>
    <col min="5860" max="5860" width="3" style="414" customWidth="1"/>
    <col min="5861" max="5861" width="14" style="414" customWidth="1"/>
    <col min="5862" max="5862" width="15.85546875" style="414" customWidth="1"/>
    <col min="5863" max="5863" width="15.140625" style="414" customWidth="1"/>
    <col min="5864" max="5864" width="2.85546875" style="414" customWidth="1"/>
    <col min="5865" max="5865" width="14.140625" style="414" customWidth="1"/>
    <col min="5866" max="5866" width="15.85546875" style="414" customWidth="1"/>
    <col min="5867" max="5867" width="19.42578125" style="414" customWidth="1"/>
    <col min="5868" max="5868" width="17.5703125" style="414" bestFit="1" customWidth="1"/>
    <col min="5869" max="6104" width="12.5703125" style="414"/>
    <col min="6105" max="6105" width="5.85546875" style="414" customWidth="1"/>
    <col min="6106" max="6106" width="48.42578125" style="414" customWidth="1"/>
    <col min="6107" max="6107" width="14.140625" style="414" customWidth="1"/>
    <col min="6108" max="6108" width="13.5703125" style="414" customWidth="1"/>
    <col min="6109" max="6109" width="15.85546875" style="414" customWidth="1"/>
    <col min="6110" max="6110" width="16.42578125" style="414" customWidth="1"/>
    <col min="6111" max="6111" width="18.42578125" style="414" customWidth="1"/>
    <col min="6112" max="6112" width="3.140625" style="414" customWidth="1"/>
    <col min="6113" max="6115" width="18.42578125" style="414" customWidth="1"/>
    <col min="6116" max="6116" width="3" style="414" customWidth="1"/>
    <col min="6117" max="6117" width="14" style="414" customWidth="1"/>
    <col min="6118" max="6118" width="15.85546875" style="414" customWidth="1"/>
    <col min="6119" max="6119" width="15.140625" style="414" customWidth="1"/>
    <col min="6120" max="6120" width="2.85546875" style="414" customWidth="1"/>
    <col min="6121" max="6121" width="14.140625" style="414" customWidth="1"/>
    <col min="6122" max="6122" width="15.85546875" style="414" customWidth="1"/>
    <col min="6123" max="6123" width="19.42578125" style="414" customWidth="1"/>
    <col min="6124" max="6124" width="17.5703125" style="414" bestFit="1" customWidth="1"/>
    <col min="6125" max="6360" width="12.5703125" style="414"/>
    <col min="6361" max="6361" width="5.85546875" style="414" customWidth="1"/>
    <col min="6362" max="6362" width="48.42578125" style="414" customWidth="1"/>
    <col min="6363" max="6363" width="14.140625" style="414" customWidth="1"/>
    <col min="6364" max="6364" width="13.5703125" style="414" customWidth="1"/>
    <col min="6365" max="6365" width="15.85546875" style="414" customWidth="1"/>
    <col min="6366" max="6366" width="16.42578125" style="414" customWidth="1"/>
    <col min="6367" max="6367" width="18.42578125" style="414" customWidth="1"/>
    <col min="6368" max="6368" width="3.140625" style="414" customWidth="1"/>
    <col min="6369" max="6371" width="18.42578125" style="414" customWidth="1"/>
    <col min="6372" max="6372" width="3" style="414" customWidth="1"/>
    <col min="6373" max="6373" width="14" style="414" customWidth="1"/>
    <col min="6374" max="6374" width="15.85546875" style="414" customWidth="1"/>
    <col min="6375" max="6375" width="15.140625" style="414" customWidth="1"/>
    <col min="6376" max="6376" width="2.85546875" style="414" customWidth="1"/>
    <col min="6377" max="6377" width="14.140625" style="414" customWidth="1"/>
    <col min="6378" max="6378" width="15.85546875" style="414" customWidth="1"/>
    <col min="6379" max="6379" width="19.42578125" style="414" customWidth="1"/>
    <col min="6380" max="6380" width="17.5703125" style="414" bestFit="1" customWidth="1"/>
    <col min="6381" max="6616" width="12.5703125" style="414"/>
    <col min="6617" max="6617" width="5.85546875" style="414" customWidth="1"/>
    <col min="6618" max="6618" width="48.42578125" style="414" customWidth="1"/>
    <col min="6619" max="6619" width="14.140625" style="414" customWidth="1"/>
    <col min="6620" max="6620" width="13.5703125" style="414" customWidth="1"/>
    <col min="6621" max="6621" width="15.85546875" style="414" customWidth="1"/>
    <col min="6622" max="6622" width="16.42578125" style="414" customWidth="1"/>
    <col min="6623" max="6623" width="18.42578125" style="414" customWidth="1"/>
    <col min="6624" max="6624" width="3.140625" style="414" customWidth="1"/>
    <col min="6625" max="6627" width="18.42578125" style="414" customWidth="1"/>
    <col min="6628" max="6628" width="3" style="414" customWidth="1"/>
    <col min="6629" max="6629" width="14" style="414" customWidth="1"/>
    <col min="6630" max="6630" width="15.85546875" style="414" customWidth="1"/>
    <col min="6631" max="6631" width="15.140625" style="414" customWidth="1"/>
    <col min="6632" max="6632" width="2.85546875" style="414" customWidth="1"/>
    <col min="6633" max="6633" width="14.140625" style="414" customWidth="1"/>
    <col min="6634" max="6634" width="15.85546875" style="414" customWidth="1"/>
    <col min="6635" max="6635" width="19.42578125" style="414" customWidth="1"/>
    <col min="6636" max="6636" width="17.5703125" style="414" bestFit="1" customWidth="1"/>
    <col min="6637" max="6872" width="12.5703125" style="414"/>
    <col min="6873" max="6873" width="5.85546875" style="414" customWidth="1"/>
    <col min="6874" max="6874" width="48.42578125" style="414" customWidth="1"/>
    <col min="6875" max="6875" width="14.140625" style="414" customWidth="1"/>
    <col min="6876" max="6876" width="13.5703125" style="414" customWidth="1"/>
    <col min="6877" max="6877" width="15.85546875" style="414" customWidth="1"/>
    <col min="6878" max="6878" width="16.42578125" style="414" customWidth="1"/>
    <col min="6879" max="6879" width="18.42578125" style="414" customWidth="1"/>
    <col min="6880" max="6880" width="3.140625" style="414" customWidth="1"/>
    <col min="6881" max="6883" width="18.42578125" style="414" customWidth="1"/>
    <col min="6884" max="6884" width="3" style="414" customWidth="1"/>
    <col min="6885" max="6885" width="14" style="414" customWidth="1"/>
    <col min="6886" max="6886" width="15.85546875" style="414" customWidth="1"/>
    <col min="6887" max="6887" width="15.140625" style="414" customWidth="1"/>
    <col min="6888" max="6888" width="2.85546875" style="414" customWidth="1"/>
    <col min="6889" max="6889" width="14.140625" style="414" customWidth="1"/>
    <col min="6890" max="6890" width="15.85546875" style="414" customWidth="1"/>
    <col min="6891" max="6891" width="19.42578125" style="414" customWidth="1"/>
    <col min="6892" max="6892" width="17.5703125" style="414" bestFit="1" customWidth="1"/>
    <col min="6893" max="7128" width="12.5703125" style="414"/>
    <col min="7129" max="7129" width="5.85546875" style="414" customWidth="1"/>
    <col min="7130" max="7130" width="48.42578125" style="414" customWidth="1"/>
    <col min="7131" max="7131" width="14.140625" style="414" customWidth="1"/>
    <col min="7132" max="7132" width="13.5703125" style="414" customWidth="1"/>
    <col min="7133" max="7133" width="15.85546875" style="414" customWidth="1"/>
    <col min="7134" max="7134" width="16.42578125" style="414" customWidth="1"/>
    <col min="7135" max="7135" width="18.42578125" style="414" customWidth="1"/>
    <col min="7136" max="7136" width="3.140625" style="414" customWidth="1"/>
    <col min="7137" max="7139" width="18.42578125" style="414" customWidth="1"/>
    <col min="7140" max="7140" width="3" style="414" customWidth="1"/>
    <col min="7141" max="7141" width="14" style="414" customWidth="1"/>
    <col min="7142" max="7142" width="15.85546875" style="414" customWidth="1"/>
    <col min="7143" max="7143" width="15.140625" style="414" customWidth="1"/>
    <col min="7144" max="7144" width="2.85546875" style="414" customWidth="1"/>
    <col min="7145" max="7145" width="14.140625" style="414" customWidth="1"/>
    <col min="7146" max="7146" width="15.85546875" style="414" customWidth="1"/>
    <col min="7147" max="7147" width="19.42578125" style="414" customWidth="1"/>
    <col min="7148" max="7148" width="17.5703125" style="414" bestFit="1" customWidth="1"/>
    <col min="7149" max="7384" width="12.5703125" style="414"/>
    <col min="7385" max="7385" width="5.85546875" style="414" customWidth="1"/>
    <col min="7386" max="7386" width="48.42578125" style="414" customWidth="1"/>
    <col min="7387" max="7387" width="14.140625" style="414" customWidth="1"/>
    <col min="7388" max="7388" width="13.5703125" style="414" customWidth="1"/>
    <col min="7389" max="7389" width="15.85546875" style="414" customWidth="1"/>
    <col min="7390" max="7390" width="16.42578125" style="414" customWidth="1"/>
    <col min="7391" max="7391" width="18.42578125" style="414" customWidth="1"/>
    <col min="7392" max="7392" width="3.140625" style="414" customWidth="1"/>
    <col min="7393" max="7395" width="18.42578125" style="414" customWidth="1"/>
    <col min="7396" max="7396" width="3" style="414" customWidth="1"/>
    <col min="7397" max="7397" width="14" style="414" customWidth="1"/>
    <col min="7398" max="7398" width="15.85546875" style="414" customWidth="1"/>
    <col min="7399" max="7399" width="15.140625" style="414" customWidth="1"/>
    <col min="7400" max="7400" width="2.85546875" style="414" customWidth="1"/>
    <col min="7401" max="7401" width="14.140625" style="414" customWidth="1"/>
    <col min="7402" max="7402" width="15.85546875" style="414" customWidth="1"/>
    <col min="7403" max="7403" width="19.42578125" style="414" customWidth="1"/>
    <col min="7404" max="7404" width="17.5703125" style="414" bestFit="1" customWidth="1"/>
    <col min="7405" max="7640" width="12.5703125" style="414"/>
    <col min="7641" max="7641" width="5.85546875" style="414" customWidth="1"/>
    <col min="7642" max="7642" width="48.42578125" style="414" customWidth="1"/>
    <col min="7643" max="7643" width="14.140625" style="414" customWidth="1"/>
    <col min="7644" max="7644" width="13.5703125" style="414" customWidth="1"/>
    <col min="7645" max="7645" width="15.85546875" style="414" customWidth="1"/>
    <col min="7646" max="7646" width="16.42578125" style="414" customWidth="1"/>
    <col min="7647" max="7647" width="18.42578125" style="414" customWidth="1"/>
    <col min="7648" max="7648" width="3.140625" style="414" customWidth="1"/>
    <col min="7649" max="7651" width="18.42578125" style="414" customWidth="1"/>
    <col min="7652" max="7652" width="3" style="414" customWidth="1"/>
    <col min="7653" max="7653" width="14" style="414" customWidth="1"/>
    <col min="7654" max="7654" width="15.85546875" style="414" customWidth="1"/>
    <col min="7655" max="7655" width="15.140625" style="414" customWidth="1"/>
    <col min="7656" max="7656" width="2.85546875" style="414" customWidth="1"/>
    <col min="7657" max="7657" width="14.140625" style="414" customWidth="1"/>
    <col min="7658" max="7658" width="15.85546875" style="414" customWidth="1"/>
    <col min="7659" max="7659" width="19.42578125" style="414" customWidth="1"/>
    <col min="7660" max="7660" width="17.5703125" style="414" bestFit="1" customWidth="1"/>
    <col min="7661" max="7896" width="12.5703125" style="414"/>
    <col min="7897" max="7897" width="5.85546875" style="414" customWidth="1"/>
    <col min="7898" max="7898" width="48.42578125" style="414" customWidth="1"/>
    <col min="7899" max="7899" width="14.140625" style="414" customWidth="1"/>
    <col min="7900" max="7900" width="13.5703125" style="414" customWidth="1"/>
    <col min="7901" max="7901" width="15.85546875" style="414" customWidth="1"/>
    <col min="7902" max="7902" width="16.42578125" style="414" customWidth="1"/>
    <col min="7903" max="7903" width="18.42578125" style="414" customWidth="1"/>
    <col min="7904" max="7904" width="3.140625" style="414" customWidth="1"/>
    <col min="7905" max="7907" width="18.42578125" style="414" customWidth="1"/>
    <col min="7908" max="7908" width="3" style="414" customWidth="1"/>
    <col min="7909" max="7909" width="14" style="414" customWidth="1"/>
    <col min="7910" max="7910" width="15.85546875" style="414" customWidth="1"/>
    <col min="7911" max="7911" width="15.140625" style="414" customWidth="1"/>
    <col min="7912" max="7912" width="2.85546875" style="414" customWidth="1"/>
    <col min="7913" max="7913" width="14.140625" style="414" customWidth="1"/>
    <col min="7914" max="7914" width="15.85546875" style="414" customWidth="1"/>
    <col min="7915" max="7915" width="19.42578125" style="414" customWidth="1"/>
    <col min="7916" max="7916" width="17.5703125" style="414" bestFit="1" customWidth="1"/>
    <col min="7917" max="8152" width="12.5703125" style="414"/>
    <col min="8153" max="8153" width="5.85546875" style="414" customWidth="1"/>
    <col min="8154" max="8154" width="48.42578125" style="414" customWidth="1"/>
    <col min="8155" max="8155" width="14.140625" style="414" customWidth="1"/>
    <col min="8156" max="8156" width="13.5703125" style="414" customWidth="1"/>
    <col min="8157" max="8157" width="15.85546875" style="414" customWidth="1"/>
    <col min="8158" max="8158" width="16.42578125" style="414" customWidth="1"/>
    <col min="8159" max="8159" width="18.42578125" style="414" customWidth="1"/>
    <col min="8160" max="8160" width="3.140625" style="414" customWidth="1"/>
    <col min="8161" max="8163" width="18.42578125" style="414" customWidth="1"/>
    <col min="8164" max="8164" width="3" style="414" customWidth="1"/>
    <col min="8165" max="8165" width="14" style="414" customWidth="1"/>
    <col min="8166" max="8166" width="15.85546875" style="414" customWidth="1"/>
    <col min="8167" max="8167" width="15.140625" style="414" customWidth="1"/>
    <col min="8168" max="8168" width="2.85546875" style="414" customWidth="1"/>
    <col min="8169" max="8169" width="14.140625" style="414" customWidth="1"/>
    <col min="8170" max="8170" width="15.85546875" style="414" customWidth="1"/>
    <col min="8171" max="8171" width="19.42578125" style="414" customWidth="1"/>
    <col min="8172" max="8172" width="17.5703125" style="414" bestFit="1" customWidth="1"/>
    <col min="8173" max="8408" width="12.5703125" style="414"/>
    <col min="8409" max="8409" width="5.85546875" style="414" customWidth="1"/>
    <col min="8410" max="8410" width="48.42578125" style="414" customWidth="1"/>
    <col min="8411" max="8411" width="14.140625" style="414" customWidth="1"/>
    <col min="8412" max="8412" width="13.5703125" style="414" customWidth="1"/>
    <col min="8413" max="8413" width="15.85546875" style="414" customWidth="1"/>
    <col min="8414" max="8414" width="16.42578125" style="414" customWidth="1"/>
    <col min="8415" max="8415" width="18.42578125" style="414" customWidth="1"/>
    <col min="8416" max="8416" width="3.140625" style="414" customWidth="1"/>
    <col min="8417" max="8419" width="18.42578125" style="414" customWidth="1"/>
    <col min="8420" max="8420" width="3" style="414" customWidth="1"/>
    <col min="8421" max="8421" width="14" style="414" customWidth="1"/>
    <col min="8422" max="8422" width="15.85546875" style="414" customWidth="1"/>
    <col min="8423" max="8423" width="15.140625" style="414" customWidth="1"/>
    <col min="8424" max="8424" width="2.85546875" style="414" customWidth="1"/>
    <col min="8425" max="8425" width="14.140625" style="414" customWidth="1"/>
    <col min="8426" max="8426" width="15.85546875" style="414" customWidth="1"/>
    <col min="8427" max="8427" width="19.42578125" style="414" customWidth="1"/>
    <col min="8428" max="8428" width="17.5703125" style="414" bestFit="1" customWidth="1"/>
    <col min="8429" max="8664" width="12.5703125" style="414"/>
    <col min="8665" max="8665" width="5.85546875" style="414" customWidth="1"/>
    <col min="8666" max="8666" width="48.42578125" style="414" customWidth="1"/>
    <col min="8667" max="8667" width="14.140625" style="414" customWidth="1"/>
    <col min="8668" max="8668" width="13.5703125" style="414" customWidth="1"/>
    <col min="8669" max="8669" width="15.85546875" style="414" customWidth="1"/>
    <col min="8670" max="8670" width="16.42578125" style="414" customWidth="1"/>
    <col min="8671" max="8671" width="18.42578125" style="414" customWidth="1"/>
    <col min="8672" max="8672" width="3.140625" style="414" customWidth="1"/>
    <col min="8673" max="8675" width="18.42578125" style="414" customWidth="1"/>
    <col min="8676" max="8676" width="3" style="414" customWidth="1"/>
    <col min="8677" max="8677" width="14" style="414" customWidth="1"/>
    <col min="8678" max="8678" width="15.85546875" style="414" customWidth="1"/>
    <col min="8679" max="8679" width="15.140625" style="414" customWidth="1"/>
    <col min="8680" max="8680" width="2.85546875" style="414" customWidth="1"/>
    <col min="8681" max="8681" width="14.140625" style="414" customWidth="1"/>
    <col min="8682" max="8682" width="15.85546875" style="414" customWidth="1"/>
    <col min="8683" max="8683" width="19.42578125" style="414" customWidth="1"/>
    <col min="8684" max="8684" width="17.5703125" style="414" bestFit="1" customWidth="1"/>
    <col min="8685" max="8920" width="12.5703125" style="414"/>
    <col min="8921" max="8921" width="5.85546875" style="414" customWidth="1"/>
    <col min="8922" max="8922" width="48.42578125" style="414" customWidth="1"/>
    <col min="8923" max="8923" width="14.140625" style="414" customWidth="1"/>
    <col min="8924" max="8924" width="13.5703125" style="414" customWidth="1"/>
    <col min="8925" max="8925" width="15.85546875" style="414" customWidth="1"/>
    <col min="8926" max="8926" width="16.42578125" style="414" customWidth="1"/>
    <col min="8927" max="8927" width="18.42578125" style="414" customWidth="1"/>
    <col min="8928" max="8928" width="3.140625" style="414" customWidth="1"/>
    <col min="8929" max="8931" width="18.42578125" style="414" customWidth="1"/>
    <col min="8932" max="8932" width="3" style="414" customWidth="1"/>
    <col min="8933" max="8933" width="14" style="414" customWidth="1"/>
    <col min="8934" max="8934" width="15.85546875" style="414" customWidth="1"/>
    <col min="8935" max="8935" width="15.140625" style="414" customWidth="1"/>
    <col min="8936" max="8936" width="2.85546875" style="414" customWidth="1"/>
    <col min="8937" max="8937" width="14.140625" style="414" customWidth="1"/>
    <col min="8938" max="8938" width="15.85546875" style="414" customWidth="1"/>
    <col min="8939" max="8939" width="19.42578125" style="414" customWidth="1"/>
    <col min="8940" max="8940" width="17.5703125" style="414" bestFit="1" customWidth="1"/>
    <col min="8941" max="9176" width="12.5703125" style="414"/>
    <col min="9177" max="9177" width="5.85546875" style="414" customWidth="1"/>
    <col min="9178" max="9178" width="48.42578125" style="414" customWidth="1"/>
    <col min="9179" max="9179" width="14.140625" style="414" customWidth="1"/>
    <col min="9180" max="9180" width="13.5703125" style="414" customWidth="1"/>
    <col min="9181" max="9181" width="15.85546875" style="414" customWidth="1"/>
    <col min="9182" max="9182" width="16.42578125" style="414" customWidth="1"/>
    <col min="9183" max="9183" width="18.42578125" style="414" customWidth="1"/>
    <col min="9184" max="9184" width="3.140625" style="414" customWidth="1"/>
    <col min="9185" max="9187" width="18.42578125" style="414" customWidth="1"/>
    <col min="9188" max="9188" width="3" style="414" customWidth="1"/>
    <col min="9189" max="9189" width="14" style="414" customWidth="1"/>
    <col min="9190" max="9190" width="15.85546875" style="414" customWidth="1"/>
    <col min="9191" max="9191" width="15.140625" style="414" customWidth="1"/>
    <col min="9192" max="9192" width="2.85546875" style="414" customWidth="1"/>
    <col min="9193" max="9193" width="14.140625" style="414" customWidth="1"/>
    <col min="9194" max="9194" width="15.85546875" style="414" customWidth="1"/>
    <col min="9195" max="9195" width="19.42578125" style="414" customWidth="1"/>
    <col min="9196" max="9196" width="17.5703125" style="414" bestFit="1" customWidth="1"/>
    <col min="9197" max="9432" width="12.5703125" style="414"/>
    <col min="9433" max="9433" width="5.85546875" style="414" customWidth="1"/>
    <col min="9434" max="9434" width="48.42578125" style="414" customWidth="1"/>
    <col min="9435" max="9435" width="14.140625" style="414" customWidth="1"/>
    <col min="9436" max="9436" width="13.5703125" style="414" customWidth="1"/>
    <col min="9437" max="9437" width="15.85546875" style="414" customWidth="1"/>
    <col min="9438" max="9438" width="16.42578125" style="414" customWidth="1"/>
    <col min="9439" max="9439" width="18.42578125" style="414" customWidth="1"/>
    <col min="9440" max="9440" width="3.140625" style="414" customWidth="1"/>
    <col min="9441" max="9443" width="18.42578125" style="414" customWidth="1"/>
    <col min="9444" max="9444" width="3" style="414" customWidth="1"/>
    <col min="9445" max="9445" width="14" style="414" customWidth="1"/>
    <col min="9446" max="9446" width="15.85546875" style="414" customWidth="1"/>
    <col min="9447" max="9447" width="15.140625" style="414" customWidth="1"/>
    <col min="9448" max="9448" width="2.85546875" style="414" customWidth="1"/>
    <col min="9449" max="9449" width="14.140625" style="414" customWidth="1"/>
    <col min="9450" max="9450" width="15.85546875" style="414" customWidth="1"/>
    <col min="9451" max="9451" width="19.42578125" style="414" customWidth="1"/>
    <col min="9452" max="9452" width="17.5703125" style="414" bestFit="1" customWidth="1"/>
    <col min="9453" max="9688" width="12.5703125" style="414"/>
    <col min="9689" max="9689" width="5.85546875" style="414" customWidth="1"/>
    <col min="9690" max="9690" width="48.42578125" style="414" customWidth="1"/>
    <col min="9691" max="9691" width="14.140625" style="414" customWidth="1"/>
    <col min="9692" max="9692" width="13.5703125" style="414" customWidth="1"/>
    <col min="9693" max="9693" width="15.85546875" style="414" customWidth="1"/>
    <col min="9694" max="9694" width="16.42578125" style="414" customWidth="1"/>
    <col min="9695" max="9695" width="18.42578125" style="414" customWidth="1"/>
    <col min="9696" max="9696" width="3.140625" style="414" customWidth="1"/>
    <col min="9697" max="9699" width="18.42578125" style="414" customWidth="1"/>
    <col min="9700" max="9700" width="3" style="414" customWidth="1"/>
    <col min="9701" max="9701" width="14" style="414" customWidth="1"/>
    <col min="9702" max="9702" width="15.85546875" style="414" customWidth="1"/>
    <col min="9703" max="9703" width="15.140625" style="414" customWidth="1"/>
    <col min="9704" max="9704" width="2.85546875" style="414" customWidth="1"/>
    <col min="9705" max="9705" width="14.140625" style="414" customWidth="1"/>
    <col min="9706" max="9706" width="15.85546875" style="414" customWidth="1"/>
    <col min="9707" max="9707" width="19.42578125" style="414" customWidth="1"/>
    <col min="9708" max="9708" width="17.5703125" style="414" bestFit="1" customWidth="1"/>
    <col min="9709" max="9944" width="12.5703125" style="414"/>
    <col min="9945" max="9945" width="5.85546875" style="414" customWidth="1"/>
    <col min="9946" max="9946" width="48.42578125" style="414" customWidth="1"/>
    <col min="9947" max="9947" width="14.140625" style="414" customWidth="1"/>
    <col min="9948" max="9948" width="13.5703125" style="414" customWidth="1"/>
    <col min="9949" max="9949" width="15.85546875" style="414" customWidth="1"/>
    <col min="9950" max="9950" width="16.42578125" style="414" customWidth="1"/>
    <col min="9951" max="9951" width="18.42578125" style="414" customWidth="1"/>
    <col min="9952" max="9952" width="3.140625" style="414" customWidth="1"/>
    <col min="9953" max="9955" width="18.42578125" style="414" customWidth="1"/>
    <col min="9956" max="9956" width="3" style="414" customWidth="1"/>
    <col min="9957" max="9957" width="14" style="414" customWidth="1"/>
    <col min="9958" max="9958" width="15.85546875" style="414" customWidth="1"/>
    <col min="9959" max="9959" width="15.140625" style="414" customWidth="1"/>
    <col min="9960" max="9960" width="2.85546875" style="414" customWidth="1"/>
    <col min="9961" max="9961" width="14.140625" style="414" customWidth="1"/>
    <col min="9962" max="9962" width="15.85546875" style="414" customWidth="1"/>
    <col min="9963" max="9963" width="19.42578125" style="414" customWidth="1"/>
    <col min="9964" max="9964" width="17.5703125" style="414" bestFit="1" customWidth="1"/>
    <col min="9965" max="10200" width="12.5703125" style="414"/>
    <col min="10201" max="10201" width="5.85546875" style="414" customWidth="1"/>
    <col min="10202" max="10202" width="48.42578125" style="414" customWidth="1"/>
    <col min="10203" max="10203" width="14.140625" style="414" customWidth="1"/>
    <col min="10204" max="10204" width="13.5703125" style="414" customWidth="1"/>
    <col min="10205" max="10205" width="15.85546875" style="414" customWidth="1"/>
    <col min="10206" max="10206" width="16.42578125" style="414" customWidth="1"/>
    <col min="10207" max="10207" width="18.42578125" style="414" customWidth="1"/>
    <col min="10208" max="10208" width="3.140625" style="414" customWidth="1"/>
    <col min="10209" max="10211" width="18.42578125" style="414" customWidth="1"/>
    <col min="10212" max="10212" width="3" style="414" customWidth="1"/>
    <col min="10213" max="10213" width="14" style="414" customWidth="1"/>
    <col min="10214" max="10214" width="15.85546875" style="414" customWidth="1"/>
    <col min="10215" max="10215" width="15.140625" style="414" customWidth="1"/>
    <col min="10216" max="10216" width="2.85546875" style="414" customWidth="1"/>
    <col min="10217" max="10217" width="14.140625" style="414" customWidth="1"/>
    <col min="10218" max="10218" width="15.85546875" style="414" customWidth="1"/>
    <col min="10219" max="10219" width="19.42578125" style="414" customWidth="1"/>
    <col min="10220" max="10220" width="17.5703125" style="414" bestFit="1" customWidth="1"/>
    <col min="10221" max="10456" width="12.5703125" style="414"/>
    <col min="10457" max="10457" width="5.85546875" style="414" customWidth="1"/>
    <col min="10458" max="10458" width="48.42578125" style="414" customWidth="1"/>
    <col min="10459" max="10459" width="14.140625" style="414" customWidth="1"/>
    <col min="10460" max="10460" width="13.5703125" style="414" customWidth="1"/>
    <col min="10461" max="10461" width="15.85546875" style="414" customWidth="1"/>
    <col min="10462" max="10462" width="16.42578125" style="414" customWidth="1"/>
    <col min="10463" max="10463" width="18.42578125" style="414" customWidth="1"/>
    <col min="10464" max="10464" width="3.140625" style="414" customWidth="1"/>
    <col min="10465" max="10467" width="18.42578125" style="414" customWidth="1"/>
    <col min="10468" max="10468" width="3" style="414" customWidth="1"/>
    <col min="10469" max="10469" width="14" style="414" customWidth="1"/>
    <col min="10470" max="10470" width="15.85546875" style="414" customWidth="1"/>
    <col min="10471" max="10471" width="15.140625" style="414" customWidth="1"/>
    <col min="10472" max="10472" width="2.85546875" style="414" customWidth="1"/>
    <col min="10473" max="10473" width="14.140625" style="414" customWidth="1"/>
    <col min="10474" max="10474" width="15.85546875" style="414" customWidth="1"/>
    <col min="10475" max="10475" width="19.42578125" style="414" customWidth="1"/>
    <col min="10476" max="10476" width="17.5703125" style="414" bestFit="1" customWidth="1"/>
    <col min="10477" max="10712" width="12.5703125" style="414"/>
    <col min="10713" max="10713" width="5.85546875" style="414" customWidth="1"/>
    <col min="10714" max="10714" width="48.42578125" style="414" customWidth="1"/>
    <col min="10715" max="10715" width="14.140625" style="414" customWidth="1"/>
    <col min="10716" max="10716" width="13.5703125" style="414" customWidth="1"/>
    <col min="10717" max="10717" width="15.85546875" style="414" customWidth="1"/>
    <col min="10718" max="10718" width="16.42578125" style="414" customWidth="1"/>
    <col min="10719" max="10719" width="18.42578125" style="414" customWidth="1"/>
    <col min="10720" max="10720" width="3.140625" style="414" customWidth="1"/>
    <col min="10721" max="10723" width="18.42578125" style="414" customWidth="1"/>
    <col min="10724" max="10724" width="3" style="414" customWidth="1"/>
    <col min="10725" max="10725" width="14" style="414" customWidth="1"/>
    <col min="10726" max="10726" width="15.85546875" style="414" customWidth="1"/>
    <col min="10727" max="10727" width="15.140625" style="414" customWidth="1"/>
    <col min="10728" max="10728" width="2.85546875" style="414" customWidth="1"/>
    <col min="10729" max="10729" width="14.140625" style="414" customWidth="1"/>
    <col min="10730" max="10730" width="15.85546875" style="414" customWidth="1"/>
    <col min="10731" max="10731" width="19.42578125" style="414" customWidth="1"/>
    <col min="10732" max="10732" width="17.5703125" style="414" bestFit="1" customWidth="1"/>
    <col min="10733" max="10968" width="12.5703125" style="414"/>
    <col min="10969" max="10969" width="5.85546875" style="414" customWidth="1"/>
    <col min="10970" max="10970" width="48.42578125" style="414" customWidth="1"/>
    <col min="10971" max="10971" width="14.140625" style="414" customWidth="1"/>
    <col min="10972" max="10972" width="13.5703125" style="414" customWidth="1"/>
    <col min="10973" max="10973" width="15.85546875" style="414" customWidth="1"/>
    <col min="10974" max="10974" width="16.42578125" style="414" customWidth="1"/>
    <col min="10975" max="10975" width="18.42578125" style="414" customWidth="1"/>
    <col min="10976" max="10976" width="3.140625" style="414" customWidth="1"/>
    <col min="10977" max="10979" width="18.42578125" style="414" customWidth="1"/>
    <col min="10980" max="10980" width="3" style="414" customWidth="1"/>
    <col min="10981" max="10981" width="14" style="414" customWidth="1"/>
    <col min="10982" max="10982" width="15.85546875" style="414" customWidth="1"/>
    <col min="10983" max="10983" width="15.140625" style="414" customWidth="1"/>
    <col min="10984" max="10984" width="2.85546875" style="414" customWidth="1"/>
    <col min="10985" max="10985" width="14.140625" style="414" customWidth="1"/>
    <col min="10986" max="10986" width="15.85546875" style="414" customWidth="1"/>
    <col min="10987" max="10987" width="19.42578125" style="414" customWidth="1"/>
    <col min="10988" max="10988" width="17.5703125" style="414" bestFit="1" customWidth="1"/>
    <col min="10989" max="11224" width="12.5703125" style="414"/>
    <col min="11225" max="11225" width="5.85546875" style="414" customWidth="1"/>
    <col min="11226" max="11226" width="48.42578125" style="414" customWidth="1"/>
    <col min="11227" max="11227" width="14.140625" style="414" customWidth="1"/>
    <col min="11228" max="11228" width="13.5703125" style="414" customWidth="1"/>
    <col min="11229" max="11229" width="15.85546875" style="414" customWidth="1"/>
    <col min="11230" max="11230" width="16.42578125" style="414" customWidth="1"/>
    <col min="11231" max="11231" width="18.42578125" style="414" customWidth="1"/>
    <col min="11232" max="11232" width="3.140625" style="414" customWidth="1"/>
    <col min="11233" max="11235" width="18.42578125" style="414" customWidth="1"/>
    <col min="11236" max="11236" width="3" style="414" customWidth="1"/>
    <col min="11237" max="11237" width="14" style="414" customWidth="1"/>
    <col min="11238" max="11238" width="15.85546875" style="414" customWidth="1"/>
    <col min="11239" max="11239" width="15.140625" style="414" customWidth="1"/>
    <col min="11240" max="11240" width="2.85546875" style="414" customWidth="1"/>
    <col min="11241" max="11241" width="14.140625" style="414" customWidth="1"/>
    <col min="11242" max="11242" width="15.85546875" style="414" customWidth="1"/>
    <col min="11243" max="11243" width="19.42578125" style="414" customWidth="1"/>
    <col min="11244" max="11244" width="17.5703125" style="414" bestFit="1" customWidth="1"/>
    <col min="11245" max="11480" width="12.5703125" style="414"/>
    <col min="11481" max="11481" width="5.85546875" style="414" customWidth="1"/>
    <col min="11482" max="11482" width="48.42578125" style="414" customWidth="1"/>
    <col min="11483" max="11483" width="14.140625" style="414" customWidth="1"/>
    <col min="11484" max="11484" width="13.5703125" style="414" customWidth="1"/>
    <col min="11485" max="11485" width="15.85546875" style="414" customWidth="1"/>
    <col min="11486" max="11486" width="16.42578125" style="414" customWidth="1"/>
    <col min="11487" max="11487" width="18.42578125" style="414" customWidth="1"/>
    <col min="11488" max="11488" width="3.140625" style="414" customWidth="1"/>
    <col min="11489" max="11491" width="18.42578125" style="414" customWidth="1"/>
    <col min="11492" max="11492" width="3" style="414" customWidth="1"/>
    <col min="11493" max="11493" width="14" style="414" customWidth="1"/>
    <col min="11494" max="11494" width="15.85546875" style="414" customWidth="1"/>
    <col min="11495" max="11495" width="15.140625" style="414" customWidth="1"/>
    <col min="11496" max="11496" width="2.85546875" style="414" customWidth="1"/>
    <col min="11497" max="11497" width="14.140625" style="414" customWidth="1"/>
    <col min="11498" max="11498" width="15.85546875" style="414" customWidth="1"/>
    <col min="11499" max="11499" width="19.42578125" style="414" customWidth="1"/>
    <col min="11500" max="11500" width="17.5703125" style="414" bestFit="1" customWidth="1"/>
    <col min="11501" max="11736" width="12.5703125" style="414"/>
    <col min="11737" max="11737" width="5.85546875" style="414" customWidth="1"/>
    <col min="11738" max="11738" width="48.42578125" style="414" customWidth="1"/>
    <col min="11739" max="11739" width="14.140625" style="414" customWidth="1"/>
    <col min="11740" max="11740" width="13.5703125" style="414" customWidth="1"/>
    <col min="11741" max="11741" width="15.85546875" style="414" customWidth="1"/>
    <col min="11742" max="11742" width="16.42578125" style="414" customWidth="1"/>
    <col min="11743" max="11743" width="18.42578125" style="414" customWidth="1"/>
    <col min="11744" max="11744" width="3.140625" style="414" customWidth="1"/>
    <col min="11745" max="11747" width="18.42578125" style="414" customWidth="1"/>
    <col min="11748" max="11748" width="3" style="414" customWidth="1"/>
    <col min="11749" max="11749" width="14" style="414" customWidth="1"/>
    <col min="11750" max="11750" width="15.85546875" style="414" customWidth="1"/>
    <col min="11751" max="11751" width="15.140625" style="414" customWidth="1"/>
    <col min="11752" max="11752" width="2.85546875" style="414" customWidth="1"/>
    <col min="11753" max="11753" width="14.140625" style="414" customWidth="1"/>
    <col min="11754" max="11754" width="15.85546875" style="414" customWidth="1"/>
    <col min="11755" max="11755" width="19.42578125" style="414" customWidth="1"/>
    <col min="11756" max="11756" width="17.5703125" style="414" bestFit="1" customWidth="1"/>
    <col min="11757" max="11992" width="12.5703125" style="414"/>
    <col min="11993" max="11993" width="5.85546875" style="414" customWidth="1"/>
    <col min="11994" max="11994" width="48.42578125" style="414" customWidth="1"/>
    <col min="11995" max="11995" width="14.140625" style="414" customWidth="1"/>
    <col min="11996" max="11996" width="13.5703125" style="414" customWidth="1"/>
    <col min="11997" max="11997" width="15.85546875" style="414" customWidth="1"/>
    <col min="11998" max="11998" width="16.42578125" style="414" customWidth="1"/>
    <col min="11999" max="11999" width="18.42578125" style="414" customWidth="1"/>
    <col min="12000" max="12000" width="3.140625" style="414" customWidth="1"/>
    <col min="12001" max="12003" width="18.42578125" style="414" customWidth="1"/>
    <col min="12004" max="12004" width="3" style="414" customWidth="1"/>
    <col min="12005" max="12005" width="14" style="414" customWidth="1"/>
    <col min="12006" max="12006" width="15.85546875" style="414" customWidth="1"/>
    <col min="12007" max="12007" width="15.140625" style="414" customWidth="1"/>
    <col min="12008" max="12008" width="2.85546875" style="414" customWidth="1"/>
    <col min="12009" max="12009" width="14.140625" style="414" customWidth="1"/>
    <col min="12010" max="12010" width="15.85546875" style="414" customWidth="1"/>
    <col min="12011" max="12011" width="19.42578125" style="414" customWidth="1"/>
    <col min="12012" max="12012" width="17.5703125" style="414" bestFit="1" customWidth="1"/>
    <col min="12013" max="12248" width="12.5703125" style="414"/>
    <col min="12249" max="12249" width="5.85546875" style="414" customWidth="1"/>
    <col min="12250" max="12250" width="48.42578125" style="414" customWidth="1"/>
    <col min="12251" max="12251" width="14.140625" style="414" customWidth="1"/>
    <col min="12252" max="12252" width="13.5703125" style="414" customWidth="1"/>
    <col min="12253" max="12253" width="15.85546875" style="414" customWidth="1"/>
    <col min="12254" max="12254" width="16.42578125" style="414" customWidth="1"/>
    <col min="12255" max="12255" width="18.42578125" style="414" customWidth="1"/>
    <col min="12256" max="12256" width="3.140625" style="414" customWidth="1"/>
    <col min="12257" max="12259" width="18.42578125" style="414" customWidth="1"/>
    <col min="12260" max="12260" width="3" style="414" customWidth="1"/>
    <col min="12261" max="12261" width="14" style="414" customWidth="1"/>
    <col min="12262" max="12262" width="15.85546875" style="414" customWidth="1"/>
    <col min="12263" max="12263" width="15.140625" style="414" customWidth="1"/>
    <col min="12264" max="12264" width="2.85546875" style="414" customWidth="1"/>
    <col min="12265" max="12265" width="14.140625" style="414" customWidth="1"/>
    <col min="12266" max="12266" width="15.85546875" style="414" customWidth="1"/>
    <col min="12267" max="12267" width="19.42578125" style="414" customWidth="1"/>
    <col min="12268" max="12268" width="17.5703125" style="414" bestFit="1" customWidth="1"/>
    <col min="12269" max="12504" width="12.5703125" style="414"/>
    <col min="12505" max="12505" width="5.85546875" style="414" customWidth="1"/>
    <col min="12506" max="12506" width="48.42578125" style="414" customWidth="1"/>
    <col min="12507" max="12507" width="14.140625" style="414" customWidth="1"/>
    <col min="12508" max="12508" width="13.5703125" style="414" customWidth="1"/>
    <col min="12509" max="12509" width="15.85546875" style="414" customWidth="1"/>
    <col min="12510" max="12510" width="16.42578125" style="414" customWidth="1"/>
    <col min="12511" max="12511" width="18.42578125" style="414" customWidth="1"/>
    <col min="12512" max="12512" width="3.140625" style="414" customWidth="1"/>
    <col min="12513" max="12515" width="18.42578125" style="414" customWidth="1"/>
    <col min="12516" max="12516" width="3" style="414" customWidth="1"/>
    <col min="12517" max="12517" width="14" style="414" customWidth="1"/>
    <col min="12518" max="12518" width="15.85546875" style="414" customWidth="1"/>
    <col min="12519" max="12519" width="15.140625" style="414" customWidth="1"/>
    <col min="12520" max="12520" width="2.85546875" style="414" customWidth="1"/>
    <col min="12521" max="12521" width="14.140625" style="414" customWidth="1"/>
    <col min="12522" max="12522" width="15.85546875" style="414" customWidth="1"/>
    <col min="12523" max="12523" width="19.42578125" style="414" customWidth="1"/>
    <col min="12524" max="12524" width="17.5703125" style="414" bestFit="1" customWidth="1"/>
    <col min="12525" max="12760" width="12.5703125" style="414"/>
    <col min="12761" max="12761" width="5.85546875" style="414" customWidth="1"/>
    <col min="12762" max="12762" width="48.42578125" style="414" customWidth="1"/>
    <col min="12763" max="12763" width="14.140625" style="414" customWidth="1"/>
    <col min="12764" max="12764" width="13.5703125" style="414" customWidth="1"/>
    <col min="12765" max="12765" width="15.85546875" style="414" customWidth="1"/>
    <col min="12766" max="12766" width="16.42578125" style="414" customWidth="1"/>
    <col min="12767" max="12767" width="18.42578125" style="414" customWidth="1"/>
    <col min="12768" max="12768" width="3.140625" style="414" customWidth="1"/>
    <col min="12769" max="12771" width="18.42578125" style="414" customWidth="1"/>
    <col min="12772" max="12772" width="3" style="414" customWidth="1"/>
    <col min="12773" max="12773" width="14" style="414" customWidth="1"/>
    <col min="12774" max="12774" width="15.85546875" style="414" customWidth="1"/>
    <col min="12775" max="12775" width="15.140625" style="414" customWidth="1"/>
    <col min="12776" max="12776" width="2.85546875" style="414" customWidth="1"/>
    <col min="12777" max="12777" width="14.140625" style="414" customWidth="1"/>
    <col min="12778" max="12778" width="15.85546875" style="414" customWidth="1"/>
    <col min="12779" max="12779" width="19.42578125" style="414" customWidth="1"/>
    <col min="12780" max="12780" width="17.5703125" style="414" bestFit="1" customWidth="1"/>
    <col min="12781" max="13016" width="12.5703125" style="414"/>
    <col min="13017" max="13017" width="5.85546875" style="414" customWidth="1"/>
    <col min="13018" max="13018" width="48.42578125" style="414" customWidth="1"/>
    <col min="13019" max="13019" width="14.140625" style="414" customWidth="1"/>
    <col min="13020" max="13020" width="13.5703125" style="414" customWidth="1"/>
    <col min="13021" max="13021" width="15.85546875" style="414" customWidth="1"/>
    <col min="13022" max="13022" width="16.42578125" style="414" customWidth="1"/>
    <col min="13023" max="13023" width="18.42578125" style="414" customWidth="1"/>
    <col min="13024" max="13024" width="3.140625" style="414" customWidth="1"/>
    <col min="13025" max="13027" width="18.42578125" style="414" customWidth="1"/>
    <col min="13028" max="13028" width="3" style="414" customWidth="1"/>
    <col min="13029" max="13029" width="14" style="414" customWidth="1"/>
    <col min="13030" max="13030" width="15.85546875" style="414" customWidth="1"/>
    <col min="13031" max="13031" width="15.140625" style="414" customWidth="1"/>
    <col min="13032" max="13032" width="2.85546875" style="414" customWidth="1"/>
    <col min="13033" max="13033" width="14.140625" style="414" customWidth="1"/>
    <col min="13034" max="13034" width="15.85546875" style="414" customWidth="1"/>
    <col min="13035" max="13035" width="19.42578125" style="414" customWidth="1"/>
    <col min="13036" max="13036" width="17.5703125" style="414" bestFit="1" customWidth="1"/>
    <col min="13037" max="13272" width="12.5703125" style="414"/>
    <col min="13273" max="13273" width="5.85546875" style="414" customWidth="1"/>
    <col min="13274" max="13274" width="48.42578125" style="414" customWidth="1"/>
    <col min="13275" max="13275" width="14.140625" style="414" customWidth="1"/>
    <col min="13276" max="13276" width="13.5703125" style="414" customWidth="1"/>
    <col min="13277" max="13277" width="15.85546875" style="414" customWidth="1"/>
    <col min="13278" max="13278" width="16.42578125" style="414" customWidth="1"/>
    <col min="13279" max="13279" width="18.42578125" style="414" customWidth="1"/>
    <col min="13280" max="13280" width="3.140625" style="414" customWidth="1"/>
    <col min="13281" max="13283" width="18.42578125" style="414" customWidth="1"/>
    <col min="13284" max="13284" width="3" style="414" customWidth="1"/>
    <col min="13285" max="13285" width="14" style="414" customWidth="1"/>
    <col min="13286" max="13286" width="15.85546875" style="414" customWidth="1"/>
    <col min="13287" max="13287" width="15.140625" style="414" customWidth="1"/>
    <col min="13288" max="13288" width="2.85546875" style="414" customWidth="1"/>
    <col min="13289" max="13289" width="14.140625" style="414" customWidth="1"/>
    <col min="13290" max="13290" width="15.85546875" style="414" customWidth="1"/>
    <col min="13291" max="13291" width="19.42578125" style="414" customWidth="1"/>
    <col min="13292" max="13292" width="17.5703125" style="414" bestFit="1" customWidth="1"/>
    <col min="13293" max="13528" width="12.5703125" style="414"/>
    <col min="13529" max="13529" width="5.85546875" style="414" customWidth="1"/>
    <col min="13530" max="13530" width="48.42578125" style="414" customWidth="1"/>
    <col min="13531" max="13531" width="14.140625" style="414" customWidth="1"/>
    <col min="13532" max="13532" width="13.5703125" style="414" customWidth="1"/>
    <col min="13533" max="13533" width="15.85546875" style="414" customWidth="1"/>
    <col min="13534" max="13534" width="16.42578125" style="414" customWidth="1"/>
    <col min="13535" max="13535" width="18.42578125" style="414" customWidth="1"/>
    <col min="13536" max="13536" width="3.140625" style="414" customWidth="1"/>
    <col min="13537" max="13539" width="18.42578125" style="414" customWidth="1"/>
    <col min="13540" max="13540" width="3" style="414" customWidth="1"/>
    <col min="13541" max="13541" width="14" style="414" customWidth="1"/>
    <col min="13542" max="13542" width="15.85546875" style="414" customWidth="1"/>
    <col min="13543" max="13543" width="15.140625" style="414" customWidth="1"/>
    <col min="13544" max="13544" width="2.85546875" style="414" customWidth="1"/>
    <col min="13545" max="13545" width="14.140625" style="414" customWidth="1"/>
    <col min="13546" max="13546" width="15.85546875" style="414" customWidth="1"/>
    <col min="13547" max="13547" width="19.42578125" style="414" customWidth="1"/>
    <col min="13548" max="13548" width="17.5703125" style="414" bestFit="1" customWidth="1"/>
    <col min="13549" max="13784" width="12.5703125" style="414"/>
    <col min="13785" max="13785" width="5.85546875" style="414" customWidth="1"/>
    <col min="13786" max="13786" width="48.42578125" style="414" customWidth="1"/>
    <col min="13787" max="13787" width="14.140625" style="414" customWidth="1"/>
    <col min="13788" max="13788" width="13.5703125" style="414" customWidth="1"/>
    <col min="13789" max="13789" width="15.85546875" style="414" customWidth="1"/>
    <col min="13790" max="13790" width="16.42578125" style="414" customWidth="1"/>
    <col min="13791" max="13791" width="18.42578125" style="414" customWidth="1"/>
    <col min="13792" max="13792" width="3.140625" style="414" customWidth="1"/>
    <col min="13793" max="13795" width="18.42578125" style="414" customWidth="1"/>
    <col min="13796" max="13796" width="3" style="414" customWidth="1"/>
    <col min="13797" max="13797" width="14" style="414" customWidth="1"/>
    <col min="13798" max="13798" width="15.85546875" style="414" customWidth="1"/>
    <col min="13799" max="13799" width="15.140625" style="414" customWidth="1"/>
    <col min="13800" max="13800" width="2.85546875" style="414" customWidth="1"/>
    <col min="13801" max="13801" width="14.140625" style="414" customWidth="1"/>
    <col min="13802" max="13802" width="15.85546875" style="414" customWidth="1"/>
    <col min="13803" max="13803" width="19.42578125" style="414" customWidth="1"/>
    <col min="13804" max="13804" width="17.5703125" style="414" bestFit="1" customWidth="1"/>
    <col min="13805" max="14040" width="12.5703125" style="414"/>
    <col min="14041" max="14041" width="5.85546875" style="414" customWidth="1"/>
    <col min="14042" max="14042" width="48.42578125" style="414" customWidth="1"/>
    <col min="14043" max="14043" width="14.140625" style="414" customWidth="1"/>
    <col min="14044" max="14044" width="13.5703125" style="414" customWidth="1"/>
    <col min="14045" max="14045" width="15.85546875" style="414" customWidth="1"/>
    <col min="14046" max="14046" width="16.42578125" style="414" customWidth="1"/>
    <col min="14047" max="14047" width="18.42578125" style="414" customWidth="1"/>
    <col min="14048" max="14048" width="3.140625" style="414" customWidth="1"/>
    <col min="14049" max="14051" width="18.42578125" style="414" customWidth="1"/>
    <col min="14052" max="14052" width="3" style="414" customWidth="1"/>
    <col min="14053" max="14053" width="14" style="414" customWidth="1"/>
    <col min="14054" max="14054" width="15.85546875" style="414" customWidth="1"/>
    <col min="14055" max="14055" width="15.140625" style="414" customWidth="1"/>
    <col min="14056" max="14056" width="2.85546875" style="414" customWidth="1"/>
    <col min="14057" max="14057" width="14.140625" style="414" customWidth="1"/>
    <col min="14058" max="14058" width="15.85546875" style="414" customWidth="1"/>
    <col min="14059" max="14059" width="19.42578125" style="414" customWidth="1"/>
    <col min="14060" max="14060" width="17.5703125" style="414" bestFit="1" customWidth="1"/>
    <col min="14061" max="14296" width="12.5703125" style="414"/>
    <col min="14297" max="14297" width="5.85546875" style="414" customWidth="1"/>
    <col min="14298" max="14298" width="48.42578125" style="414" customWidth="1"/>
    <col min="14299" max="14299" width="14.140625" style="414" customWidth="1"/>
    <col min="14300" max="14300" width="13.5703125" style="414" customWidth="1"/>
    <col min="14301" max="14301" width="15.85546875" style="414" customWidth="1"/>
    <col min="14302" max="14302" width="16.42578125" style="414" customWidth="1"/>
    <col min="14303" max="14303" width="18.42578125" style="414" customWidth="1"/>
    <col min="14304" max="14304" width="3.140625" style="414" customWidth="1"/>
    <col min="14305" max="14307" width="18.42578125" style="414" customWidth="1"/>
    <col min="14308" max="14308" width="3" style="414" customWidth="1"/>
    <col min="14309" max="14309" width="14" style="414" customWidth="1"/>
    <col min="14310" max="14310" width="15.85546875" style="414" customWidth="1"/>
    <col min="14311" max="14311" width="15.140625" style="414" customWidth="1"/>
    <col min="14312" max="14312" width="2.85546875" style="414" customWidth="1"/>
    <col min="14313" max="14313" width="14.140625" style="414" customWidth="1"/>
    <col min="14314" max="14314" width="15.85546875" style="414" customWidth="1"/>
    <col min="14315" max="14315" width="19.42578125" style="414" customWidth="1"/>
    <col min="14316" max="14316" width="17.5703125" style="414" bestFit="1" customWidth="1"/>
    <col min="14317" max="14552" width="12.5703125" style="414"/>
    <col min="14553" max="14553" width="5.85546875" style="414" customWidth="1"/>
    <col min="14554" max="14554" width="48.42578125" style="414" customWidth="1"/>
    <col min="14555" max="14555" width="14.140625" style="414" customWidth="1"/>
    <col min="14556" max="14556" width="13.5703125" style="414" customWidth="1"/>
    <col min="14557" max="14557" width="15.85546875" style="414" customWidth="1"/>
    <col min="14558" max="14558" width="16.42578125" style="414" customWidth="1"/>
    <col min="14559" max="14559" width="18.42578125" style="414" customWidth="1"/>
    <col min="14560" max="14560" width="3.140625" style="414" customWidth="1"/>
    <col min="14561" max="14563" width="18.42578125" style="414" customWidth="1"/>
    <col min="14564" max="14564" width="3" style="414" customWidth="1"/>
    <col min="14565" max="14565" width="14" style="414" customWidth="1"/>
    <col min="14566" max="14566" width="15.85546875" style="414" customWidth="1"/>
    <col min="14567" max="14567" width="15.140625" style="414" customWidth="1"/>
    <col min="14568" max="14568" width="2.85546875" style="414" customWidth="1"/>
    <col min="14569" max="14569" width="14.140625" style="414" customWidth="1"/>
    <col min="14570" max="14570" width="15.85546875" style="414" customWidth="1"/>
    <col min="14571" max="14571" width="19.42578125" style="414" customWidth="1"/>
    <col min="14572" max="14572" width="17.5703125" style="414" bestFit="1" customWidth="1"/>
    <col min="14573" max="14808" width="12.5703125" style="414"/>
    <col min="14809" max="14809" width="5.85546875" style="414" customWidth="1"/>
    <col min="14810" max="14810" width="48.42578125" style="414" customWidth="1"/>
    <col min="14811" max="14811" width="14.140625" style="414" customWidth="1"/>
    <col min="14812" max="14812" width="13.5703125" style="414" customWidth="1"/>
    <col min="14813" max="14813" width="15.85546875" style="414" customWidth="1"/>
    <col min="14814" max="14814" width="16.42578125" style="414" customWidth="1"/>
    <col min="14815" max="14815" width="18.42578125" style="414" customWidth="1"/>
    <col min="14816" max="14816" width="3.140625" style="414" customWidth="1"/>
    <col min="14817" max="14819" width="18.42578125" style="414" customWidth="1"/>
    <col min="14820" max="14820" width="3" style="414" customWidth="1"/>
    <col min="14821" max="14821" width="14" style="414" customWidth="1"/>
    <col min="14822" max="14822" width="15.85546875" style="414" customWidth="1"/>
    <col min="14823" max="14823" width="15.140625" style="414" customWidth="1"/>
    <col min="14824" max="14824" width="2.85546875" style="414" customWidth="1"/>
    <col min="14825" max="14825" width="14.140625" style="414" customWidth="1"/>
    <col min="14826" max="14826" width="15.85546875" style="414" customWidth="1"/>
    <col min="14827" max="14827" width="19.42578125" style="414" customWidth="1"/>
    <col min="14828" max="14828" width="17.5703125" style="414" bestFit="1" customWidth="1"/>
    <col min="14829" max="15064" width="12.5703125" style="414"/>
    <col min="15065" max="15065" width="5.85546875" style="414" customWidth="1"/>
    <col min="15066" max="15066" width="48.42578125" style="414" customWidth="1"/>
    <col min="15067" max="15067" width="14.140625" style="414" customWidth="1"/>
    <col min="15068" max="15068" width="13.5703125" style="414" customWidth="1"/>
    <col min="15069" max="15069" width="15.85546875" style="414" customWidth="1"/>
    <col min="15070" max="15070" width="16.42578125" style="414" customWidth="1"/>
    <col min="15071" max="15071" width="18.42578125" style="414" customWidth="1"/>
    <col min="15072" max="15072" width="3.140625" style="414" customWidth="1"/>
    <col min="15073" max="15075" width="18.42578125" style="414" customWidth="1"/>
    <col min="15076" max="15076" width="3" style="414" customWidth="1"/>
    <col min="15077" max="15077" width="14" style="414" customWidth="1"/>
    <col min="15078" max="15078" width="15.85546875" style="414" customWidth="1"/>
    <col min="15079" max="15079" width="15.140625" style="414" customWidth="1"/>
    <col min="15080" max="15080" width="2.85546875" style="414" customWidth="1"/>
    <col min="15081" max="15081" width="14.140625" style="414" customWidth="1"/>
    <col min="15082" max="15082" width="15.85546875" style="414" customWidth="1"/>
    <col min="15083" max="15083" width="19.42578125" style="414" customWidth="1"/>
    <col min="15084" max="15084" width="17.5703125" style="414" bestFit="1" customWidth="1"/>
    <col min="15085" max="15320" width="12.5703125" style="414"/>
    <col min="15321" max="15321" width="5.85546875" style="414" customWidth="1"/>
    <col min="15322" max="15322" width="48.42578125" style="414" customWidth="1"/>
    <col min="15323" max="15323" width="14.140625" style="414" customWidth="1"/>
    <col min="15324" max="15324" width="13.5703125" style="414" customWidth="1"/>
    <col min="15325" max="15325" width="15.85546875" style="414" customWidth="1"/>
    <col min="15326" max="15326" width="16.42578125" style="414" customWidth="1"/>
    <col min="15327" max="15327" width="18.42578125" style="414" customWidth="1"/>
    <col min="15328" max="15328" width="3.140625" style="414" customWidth="1"/>
    <col min="15329" max="15331" width="18.42578125" style="414" customWidth="1"/>
    <col min="15332" max="15332" width="3" style="414" customWidth="1"/>
    <col min="15333" max="15333" width="14" style="414" customWidth="1"/>
    <col min="15334" max="15334" width="15.85546875" style="414" customWidth="1"/>
    <col min="15335" max="15335" width="15.140625" style="414" customWidth="1"/>
    <col min="15336" max="15336" width="2.85546875" style="414" customWidth="1"/>
    <col min="15337" max="15337" width="14.140625" style="414" customWidth="1"/>
    <col min="15338" max="15338" width="15.85546875" style="414" customWidth="1"/>
    <col min="15339" max="15339" width="19.42578125" style="414" customWidth="1"/>
    <col min="15340" max="15340" width="17.5703125" style="414" bestFit="1" customWidth="1"/>
    <col min="15341" max="15576" width="12.5703125" style="414"/>
    <col min="15577" max="15577" width="5.85546875" style="414" customWidth="1"/>
    <col min="15578" max="15578" width="48.42578125" style="414" customWidth="1"/>
    <col min="15579" max="15579" width="14.140625" style="414" customWidth="1"/>
    <col min="15580" max="15580" width="13.5703125" style="414" customWidth="1"/>
    <col min="15581" max="15581" width="15.85546875" style="414" customWidth="1"/>
    <col min="15582" max="15582" width="16.42578125" style="414" customWidth="1"/>
    <col min="15583" max="15583" width="18.42578125" style="414" customWidth="1"/>
    <col min="15584" max="15584" width="3.140625" style="414" customWidth="1"/>
    <col min="15585" max="15587" width="18.42578125" style="414" customWidth="1"/>
    <col min="15588" max="15588" width="3" style="414" customWidth="1"/>
    <col min="15589" max="15589" width="14" style="414" customWidth="1"/>
    <col min="15590" max="15590" width="15.85546875" style="414" customWidth="1"/>
    <col min="15591" max="15591" width="15.140625" style="414" customWidth="1"/>
    <col min="15592" max="15592" width="2.85546875" style="414" customWidth="1"/>
    <col min="15593" max="15593" width="14.140625" style="414" customWidth="1"/>
    <col min="15594" max="15594" width="15.85546875" style="414" customWidth="1"/>
    <col min="15595" max="15595" width="19.42578125" style="414" customWidth="1"/>
    <col min="15596" max="15596" width="17.5703125" style="414" bestFit="1" customWidth="1"/>
    <col min="15597" max="15832" width="12.5703125" style="414"/>
    <col min="15833" max="15833" width="5.85546875" style="414" customWidth="1"/>
    <col min="15834" max="15834" width="48.42578125" style="414" customWidth="1"/>
    <col min="15835" max="15835" width="14.140625" style="414" customWidth="1"/>
    <col min="15836" max="15836" width="13.5703125" style="414" customWidth="1"/>
    <col min="15837" max="15837" width="15.85546875" style="414" customWidth="1"/>
    <col min="15838" max="15838" width="16.42578125" style="414" customWidth="1"/>
    <col min="15839" max="15839" width="18.42578125" style="414" customWidth="1"/>
    <col min="15840" max="15840" width="3.140625" style="414" customWidth="1"/>
    <col min="15841" max="15843" width="18.42578125" style="414" customWidth="1"/>
    <col min="15844" max="15844" width="3" style="414" customWidth="1"/>
    <col min="15845" max="15845" width="14" style="414" customWidth="1"/>
    <col min="15846" max="15846" width="15.85546875" style="414" customWidth="1"/>
    <col min="15847" max="15847" width="15.140625" style="414" customWidth="1"/>
    <col min="15848" max="15848" width="2.85546875" style="414" customWidth="1"/>
    <col min="15849" max="15849" width="14.140625" style="414" customWidth="1"/>
    <col min="15850" max="15850" width="15.85546875" style="414" customWidth="1"/>
    <col min="15851" max="15851" width="19.42578125" style="414" customWidth="1"/>
    <col min="15852" max="15852" width="17.5703125" style="414" bestFit="1" customWidth="1"/>
    <col min="15853" max="16088" width="12.5703125" style="414"/>
    <col min="16089" max="16089" width="5.85546875" style="414" customWidth="1"/>
    <col min="16090" max="16090" width="48.42578125" style="414" customWidth="1"/>
    <col min="16091" max="16091" width="14.140625" style="414" customWidth="1"/>
    <col min="16092" max="16092" width="13.5703125" style="414" customWidth="1"/>
    <col min="16093" max="16093" width="15.85546875" style="414" customWidth="1"/>
    <col min="16094" max="16094" width="16.42578125" style="414" customWidth="1"/>
    <col min="16095" max="16095" width="18.42578125" style="414" customWidth="1"/>
    <col min="16096" max="16096" width="3.140625" style="414" customWidth="1"/>
    <col min="16097" max="16099" width="18.42578125" style="414" customWidth="1"/>
    <col min="16100" max="16100" width="3" style="414" customWidth="1"/>
    <col min="16101" max="16101" width="14" style="414" customWidth="1"/>
    <col min="16102" max="16102" width="15.85546875" style="414" customWidth="1"/>
    <col min="16103" max="16103" width="15.140625" style="414" customWidth="1"/>
    <col min="16104" max="16104" width="2.85546875" style="414" customWidth="1"/>
    <col min="16105" max="16105" width="14.140625" style="414" customWidth="1"/>
    <col min="16106" max="16106" width="15.85546875" style="414" customWidth="1"/>
    <col min="16107" max="16107" width="19.42578125" style="414" customWidth="1"/>
    <col min="16108" max="16108" width="17.5703125" style="414" bestFit="1" customWidth="1"/>
    <col min="16109" max="16384" width="12.5703125" style="414"/>
  </cols>
  <sheetData>
    <row r="1" spans="1:8">
      <c r="B1" s="405"/>
      <c r="C1" s="409"/>
    </row>
    <row r="2" spans="1:8">
      <c r="B2" s="405"/>
      <c r="C2" s="415"/>
    </row>
    <row r="3" spans="1:8">
      <c r="B3" s="405"/>
    </row>
    <row r="4" spans="1:8">
      <c r="B4" s="410"/>
    </row>
    <row r="5" spans="1:8">
      <c r="B5" s="407"/>
    </row>
    <row r="8" spans="1:8">
      <c r="B8" s="408"/>
      <c r="C8" s="416"/>
    </row>
    <row r="10" spans="1:8">
      <c r="A10" s="490"/>
      <c r="B10" s="589" t="s">
        <v>850</v>
      </c>
      <c r="C10" s="480"/>
    </row>
    <row r="11" spans="1:8">
      <c r="A11" s="490"/>
      <c r="B11" s="589" t="s">
        <v>898</v>
      </c>
      <c r="C11" s="491"/>
    </row>
    <row r="12" spans="1:8">
      <c r="A12" s="490"/>
      <c r="B12" s="589" t="s">
        <v>1184</v>
      </c>
      <c r="C12" s="491"/>
    </row>
    <row r="13" spans="1:8">
      <c r="A13" s="490"/>
      <c r="B13" s="589"/>
      <c r="C13" s="491"/>
    </row>
    <row r="14" spans="1:8">
      <c r="A14" s="490"/>
      <c r="B14" s="480"/>
      <c r="C14" s="491"/>
      <c r="D14" s="491"/>
      <c r="E14" s="480"/>
      <c r="F14" s="480"/>
      <c r="G14" s="480"/>
      <c r="H14" s="480"/>
    </row>
    <row r="15" spans="1:8">
      <c r="A15" s="490"/>
      <c r="B15" s="18" t="s">
        <v>447</v>
      </c>
      <c r="C15" s="492" t="s">
        <v>448</v>
      </c>
      <c r="D15" s="492" t="s">
        <v>449</v>
      </c>
      <c r="E15" s="480"/>
      <c r="F15" s="18" t="s">
        <v>1058</v>
      </c>
      <c r="G15" s="18" t="s">
        <v>450</v>
      </c>
      <c r="H15" s="18" t="s">
        <v>1059</v>
      </c>
    </row>
    <row r="16" spans="1:8">
      <c r="A16" s="490"/>
      <c r="B16" s="480"/>
      <c r="C16" s="491"/>
      <c r="D16" s="491"/>
      <c r="E16" s="480"/>
      <c r="F16" s="480"/>
      <c r="G16" s="480"/>
      <c r="H16" s="480"/>
    </row>
    <row r="17" spans="1:8">
      <c r="A17" s="490"/>
      <c r="B17" s="480"/>
      <c r="C17" s="493"/>
      <c r="D17" s="641" t="s">
        <v>1060</v>
      </c>
      <c r="E17" s="480"/>
      <c r="F17" s="494" t="s">
        <v>1183</v>
      </c>
      <c r="G17" s="481"/>
      <c r="H17" s="481"/>
    </row>
    <row r="18" spans="1:8">
      <c r="A18" s="490"/>
      <c r="B18" s="480"/>
      <c r="C18" s="495"/>
      <c r="D18" s="491"/>
      <c r="E18" s="480"/>
      <c r="F18" s="483"/>
      <c r="G18" s="483"/>
      <c r="H18" s="483"/>
    </row>
    <row r="19" spans="1:8">
      <c r="A19" s="490"/>
      <c r="B19" s="480"/>
      <c r="C19" s="482" t="s">
        <v>451</v>
      </c>
      <c r="D19" s="482" t="s">
        <v>451</v>
      </c>
      <c r="E19" s="480"/>
      <c r="F19" s="480"/>
      <c r="G19" s="480"/>
      <c r="H19" s="480"/>
    </row>
    <row r="20" spans="1:8">
      <c r="A20" s="490"/>
      <c r="B20" s="18" t="s">
        <v>452</v>
      </c>
      <c r="C20" s="638">
        <v>45291</v>
      </c>
      <c r="D20" s="638">
        <v>45291</v>
      </c>
      <c r="E20" s="480"/>
      <c r="F20" s="18" t="s">
        <v>453</v>
      </c>
      <c r="G20" s="18" t="s">
        <v>366</v>
      </c>
      <c r="H20" s="18" t="s">
        <v>367</v>
      </c>
    </row>
    <row r="21" spans="1:8">
      <c r="A21" s="490"/>
      <c r="B21" s="480"/>
      <c r="C21" s="491"/>
      <c r="D21" s="491"/>
      <c r="E21" s="480"/>
      <c r="F21" s="480"/>
      <c r="G21" s="480"/>
      <c r="H21" s="480"/>
    </row>
    <row r="22" spans="1:8">
      <c r="A22" s="496">
        <v>1</v>
      </c>
      <c r="B22" s="489" t="s">
        <v>899</v>
      </c>
      <c r="C22" s="484"/>
      <c r="D22" s="636"/>
      <c r="E22" s="484"/>
      <c r="F22" s="484"/>
      <c r="G22" s="484"/>
      <c r="H22" s="484"/>
    </row>
    <row r="23" spans="1:8">
      <c r="A23" s="496"/>
      <c r="B23" s="484"/>
      <c r="C23" s="484"/>
      <c r="D23" s="484"/>
      <c r="E23" s="484"/>
      <c r="F23" s="484"/>
      <c r="G23" s="484"/>
      <c r="H23" s="484"/>
    </row>
    <row r="24" spans="1:8">
      <c r="A24" s="642">
        <v>2.0099999999999998</v>
      </c>
      <c r="B24" s="643" t="s">
        <v>1187</v>
      </c>
      <c r="C24" s="644">
        <f t="shared" ref="C24:C89" si="0">SUM(F24:H24)</f>
        <v>1138380.73</v>
      </c>
      <c r="D24" s="644"/>
      <c r="E24" s="644"/>
      <c r="F24" s="643">
        <v>1138380.73</v>
      </c>
      <c r="G24" s="643">
        <v>0</v>
      </c>
      <c r="H24" s="643">
        <v>0</v>
      </c>
    </row>
    <row r="25" spans="1:8">
      <c r="A25" s="642">
        <f>A24+0.01</f>
        <v>2.0199999999999996</v>
      </c>
      <c r="B25" s="643" t="s">
        <v>900</v>
      </c>
      <c r="C25" s="644">
        <f t="shared" ref="C25" si="1">SUM(F25:H25)</f>
        <v>123007.08999999911</v>
      </c>
      <c r="D25" s="644"/>
      <c r="E25" s="644"/>
      <c r="F25" s="643">
        <v>90207.449999999255</v>
      </c>
      <c r="G25" s="643">
        <v>-0.45</v>
      </c>
      <c r="H25" s="643">
        <v>32800.089999999851</v>
      </c>
    </row>
    <row r="26" spans="1:8">
      <c r="A26" s="642">
        <f t="shared" ref="A26:A90" si="2">A25+0.01</f>
        <v>2.0299999999999994</v>
      </c>
      <c r="B26" s="643" t="s">
        <v>1188</v>
      </c>
      <c r="C26" s="644">
        <f t="shared" si="0"/>
        <v>0</v>
      </c>
      <c r="D26" s="644"/>
      <c r="E26" s="644"/>
      <c r="F26" s="643">
        <v>0</v>
      </c>
      <c r="G26" s="643">
        <v>0</v>
      </c>
      <c r="H26" s="643">
        <v>0</v>
      </c>
    </row>
    <row r="27" spans="1:8">
      <c r="A27" s="642">
        <f t="shared" si="2"/>
        <v>2.0399999999999991</v>
      </c>
      <c r="B27" s="643" t="s">
        <v>901</v>
      </c>
      <c r="C27" s="644">
        <f t="shared" si="0"/>
        <v>61662935.200000003</v>
      </c>
      <c r="D27" s="644"/>
      <c r="E27" s="644"/>
      <c r="F27" s="643">
        <v>29045434.59</v>
      </c>
      <c r="G27" s="643">
        <v>26494546.750000004</v>
      </c>
      <c r="H27" s="643">
        <v>6122953.8600000003</v>
      </c>
    </row>
    <row r="28" spans="1:8">
      <c r="A28" s="642">
        <f t="shared" si="2"/>
        <v>2.0499999999999989</v>
      </c>
      <c r="B28" s="643" t="s">
        <v>902</v>
      </c>
      <c r="C28" s="644">
        <f t="shared" si="0"/>
        <v>0</v>
      </c>
      <c r="D28" s="644"/>
      <c r="E28" s="644"/>
      <c r="F28" s="643">
        <v>0</v>
      </c>
      <c r="G28" s="643">
        <v>0</v>
      </c>
      <c r="H28" s="643">
        <v>0</v>
      </c>
    </row>
    <row r="29" spans="1:8">
      <c r="A29" s="642">
        <f t="shared" si="2"/>
        <v>2.0599999999999987</v>
      </c>
      <c r="B29" s="643" t="s">
        <v>970</v>
      </c>
      <c r="C29" s="644">
        <f t="shared" si="0"/>
        <v>9515312.3399999999</v>
      </c>
      <c r="D29" s="644"/>
      <c r="E29" s="644"/>
      <c r="F29" s="643">
        <v>0</v>
      </c>
      <c r="G29" s="643">
        <v>2374705.71</v>
      </c>
      <c r="H29" s="643">
        <v>7140606.6299999999</v>
      </c>
    </row>
    <row r="30" spans="1:8">
      <c r="A30" s="642">
        <f t="shared" si="2"/>
        <v>2.0699999999999985</v>
      </c>
      <c r="B30" s="643" t="s">
        <v>971</v>
      </c>
      <c r="C30" s="644">
        <f t="shared" si="0"/>
        <v>203424.38</v>
      </c>
      <c r="D30" s="644"/>
      <c r="E30" s="644"/>
      <c r="F30" s="643">
        <v>0</v>
      </c>
      <c r="G30" s="643">
        <v>203424.38</v>
      </c>
      <c r="H30" s="643">
        <v>0</v>
      </c>
    </row>
    <row r="31" spans="1:8">
      <c r="A31" s="642">
        <f t="shared" si="2"/>
        <v>2.0799999999999983</v>
      </c>
      <c r="B31" s="643" t="s">
        <v>972</v>
      </c>
      <c r="C31" s="644">
        <f t="shared" si="0"/>
        <v>5139144.5999999996</v>
      </c>
      <c r="D31" s="644"/>
      <c r="E31" s="644"/>
      <c r="F31" s="643">
        <v>0</v>
      </c>
      <c r="G31" s="643">
        <v>1337571.3400000001</v>
      </c>
      <c r="H31" s="643">
        <v>3801573.26</v>
      </c>
    </row>
    <row r="32" spans="1:8">
      <c r="A32" s="642">
        <f t="shared" si="2"/>
        <v>2.0899999999999981</v>
      </c>
      <c r="B32" s="643" t="s">
        <v>903</v>
      </c>
      <c r="C32" s="644">
        <f t="shared" si="0"/>
        <v>0</v>
      </c>
      <c r="D32" s="644"/>
      <c r="E32" s="644"/>
      <c r="F32" s="643">
        <v>0</v>
      </c>
      <c r="G32" s="643">
        <v>0</v>
      </c>
      <c r="H32" s="643">
        <v>0</v>
      </c>
    </row>
    <row r="33" spans="1:8">
      <c r="A33" s="642">
        <f t="shared" si="2"/>
        <v>2.0999999999999979</v>
      </c>
      <c r="B33" s="643" t="s">
        <v>462</v>
      </c>
      <c r="C33" s="644">
        <f t="shared" si="0"/>
        <v>6149143.6200000001</v>
      </c>
      <c r="D33" s="644"/>
      <c r="E33" s="644"/>
      <c r="F33" s="643">
        <v>2506805.4699999997</v>
      </c>
      <c r="G33" s="643">
        <v>1138215.1500000001</v>
      </c>
      <c r="H33" s="643">
        <v>2504123</v>
      </c>
    </row>
    <row r="34" spans="1:8">
      <c r="A34" s="642">
        <f t="shared" si="2"/>
        <v>2.1099999999999977</v>
      </c>
      <c r="B34" s="656" t="s">
        <v>904</v>
      </c>
      <c r="C34" s="657">
        <f t="shared" si="0"/>
        <v>-0.01</v>
      </c>
      <c r="D34" s="657"/>
      <c r="E34" s="657"/>
      <c r="F34" s="656">
        <v>-0.01</v>
      </c>
      <c r="G34" s="656">
        <v>0</v>
      </c>
      <c r="H34" s="656">
        <v>0</v>
      </c>
    </row>
    <row r="35" spans="1:8">
      <c r="A35" s="642">
        <f t="shared" si="2"/>
        <v>2.1199999999999974</v>
      </c>
      <c r="B35" s="656" t="s">
        <v>905</v>
      </c>
      <c r="C35" s="657">
        <f t="shared" si="0"/>
        <v>0</v>
      </c>
      <c r="D35" s="657"/>
      <c r="E35" s="657"/>
      <c r="F35" s="656">
        <v>0</v>
      </c>
      <c r="G35" s="656">
        <v>0</v>
      </c>
      <c r="H35" s="656">
        <v>0</v>
      </c>
    </row>
    <row r="36" spans="1:8">
      <c r="A36" s="642">
        <f t="shared" si="2"/>
        <v>2.1299999999999972</v>
      </c>
      <c r="B36" s="643" t="s">
        <v>906</v>
      </c>
      <c r="C36" s="644">
        <f t="shared" si="0"/>
        <v>6524597.9500000002</v>
      </c>
      <c r="D36" s="644"/>
      <c r="E36" s="644"/>
      <c r="F36" s="643">
        <v>105761.16</v>
      </c>
      <c r="G36" s="643">
        <v>4076538.65</v>
      </c>
      <c r="H36" s="643">
        <v>2342298.14</v>
      </c>
    </row>
    <row r="37" spans="1:8">
      <c r="A37" s="642">
        <f t="shared" si="2"/>
        <v>2.139999999999997</v>
      </c>
      <c r="B37" s="643" t="s">
        <v>1064</v>
      </c>
      <c r="C37" s="644">
        <f t="shared" si="0"/>
        <v>0.01</v>
      </c>
      <c r="D37" s="644"/>
      <c r="E37" s="644"/>
      <c r="F37" s="643">
        <v>0.01</v>
      </c>
      <c r="G37" s="643">
        <v>0</v>
      </c>
      <c r="H37" s="643">
        <v>0</v>
      </c>
    </row>
    <row r="38" spans="1:8">
      <c r="A38" s="642">
        <f t="shared" si="2"/>
        <v>2.1499999999999968</v>
      </c>
      <c r="B38" s="643" t="s">
        <v>1065</v>
      </c>
      <c r="C38" s="644">
        <f t="shared" si="0"/>
        <v>-0.21</v>
      </c>
      <c r="D38" s="644"/>
      <c r="E38" s="644"/>
      <c r="F38" s="643">
        <v>-0.21</v>
      </c>
      <c r="G38" s="643">
        <v>0</v>
      </c>
      <c r="H38" s="643">
        <v>0</v>
      </c>
    </row>
    <row r="39" spans="1:8">
      <c r="A39" s="642">
        <f t="shared" si="2"/>
        <v>2.1599999999999966</v>
      </c>
      <c r="B39" s="643" t="s">
        <v>973</v>
      </c>
      <c r="C39" s="644">
        <f t="shared" si="0"/>
        <v>576.96</v>
      </c>
      <c r="D39" s="644"/>
      <c r="E39" s="644"/>
      <c r="F39" s="643">
        <v>0</v>
      </c>
      <c r="G39" s="643">
        <v>0</v>
      </c>
      <c r="H39" s="643">
        <v>576.96</v>
      </c>
    </row>
    <row r="40" spans="1:8">
      <c r="A40" s="642">
        <f t="shared" si="2"/>
        <v>2.1699999999999964</v>
      </c>
      <c r="B40" s="656" t="s">
        <v>907</v>
      </c>
      <c r="C40" s="657">
        <f t="shared" si="0"/>
        <v>0</v>
      </c>
      <c r="D40" s="657"/>
      <c r="E40" s="657"/>
      <c r="F40" s="656">
        <v>0</v>
      </c>
      <c r="G40" s="656">
        <v>0</v>
      </c>
      <c r="H40" s="656">
        <v>0</v>
      </c>
    </row>
    <row r="41" spans="1:8">
      <c r="A41" s="642">
        <f t="shared" si="2"/>
        <v>2.1799999999999962</v>
      </c>
      <c r="B41" s="656" t="s">
        <v>908</v>
      </c>
      <c r="C41" s="657">
        <f t="shared" si="0"/>
        <v>-3324016.08</v>
      </c>
      <c r="D41" s="657"/>
      <c r="E41" s="657"/>
      <c r="F41" s="656">
        <v>-3324016.08</v>
      </c>
      <c r="G41" s="656">
        <v>0</v>
      </c>
      <c r="H41" s="656">
        <v>0</v>
      </c>
    </row>
    <row r="42" spans="1:8">
      <c r="A42" s="642">
        <f t="shared" si="2"/>
        <v>2.1899999999999959</v>
      </c>
      <c r="B42" s="658" t="s">
        <v>974</v>
      </c>
      <c r="C42" s="659">
        <f t="shared" si="0"/>
        <v>54592.29</v>
      </c>
      <c r="D42" s="659"/>
      <c r="E42" s="659"/>
      <c r="F42" s="658">
        <v>45084.56</v>
      </c>
      <c r="G42" s="658">
        <v>1561.97</v>
      </c>
      <c r="H42" s="658">
        <v>7945.76</v>
      </c>
    </row>
    <row r="43" spans="1:8">
      <c r="A43" s="642">
        <f t="shared" si="2"/>
        <v>2.1999999999999957</v>
      </c>
      <c r="B43" s="658" t="s">
        <v>975</v>
      </c>
      <c r="C43" s="659">
        <f t="shared" si="0"/>
        <v>39569.51</v>
      </c>
      <c r="D43" s="659"/>
      <c r="E43" s="659"/>
      <c r="F43" s="658">
        <v>8606.06</v>
      </c>
      <c r="G43" s="658">
        <v>0</v>
      </c>
      <c r="H43" s="658">
        <v>30963.45</v>
      </c>
    </row>
    <row r="44" spans="1:8">
      <c r="A44" s="642">
        <f t="shared" si="2"/>
        <v>2.2099999999999955</v>
      </c>
      <c r="B44" s="658" t="s">
        <v>976</v>
      </c>
      <c r="C44" s="659">
        <f t="shared" si="0"/>
        <v>-26844.09</v>
      </c>
      <c r="D44" s="659"/>
      <c r="E44" s="659"/>
      <c r="F44" s="658">
        <v>9230.34</v>
      </c>
      <c r="G44" s="658">
        <v>0</v>
      </c>
      <c r="H44" s="658">
        <v>-36074.43</v>
      </c>
    </row>
    <row r="45" spans="1:8">
      <c r="A45" s="642">
        <f t="shared" si="2"/>
        <v>2.2199999999999953</v>
      </c>
      <c r="B45" s="658" t="s">
        <v>909</v>
      </c>
      <c r="C45" s="659">
        <f t="shared" si="0"/>
        <v>10133.66</v>
      </c>
      <c r="D45" s="659"/>
      <c r="E45" s="659"/>
      <c r="F45" s="658">
        <v>0.02</v>
      </c>
      <c r="G45" s="658">
        <v>0</v>
      </c>
      <c r="H45" s="658">
        <v>10133.64</v>
      </c>
    </row>
    <row r="46" spans="1:8">
      <c r="A46" s="642">
        <f t="shared" si="2"/>
        <v>2.2299999999999951</v>
      </c>
      <c r="B46" s="658" t="s">
        <v>910</v>
      </c>
      <c r="C46" s="659">
        <f t="shared" si="0"/>
        <v>-0.01</v>
      </c>
      <c r="D46" s="659"/>
      <c r="E46" s="659"/>
      <c r="F46" s="658">
        <v>0</v>
      </c>
      <c r="G46" s="658">
        <v>0</v>
      </c>
      <c r="H46" s="658">
        <v>-0.01</v>
      </c>
    </row>
    <row r="47" spans="1:8">
      <c r="A47" s="642">
        <f t="shared" si="2"/>
        <v>2.2399999999999949</v>
      </c>
      <c r="B47" s="658" t="s">
        <v>911</v>
      </c>
      <c r="C47" s="659">
        <f t="shared" si="0"/>
        <v>0.21000000000000002</v>
      </c>
      <c r="D47" s="659"/>
      <c r="E47" s="659"/>
      <c r="F47" s="658">
        <v>0.01</v>
      </c>
      <c r="G47" s="658">
        <v>0</v>
      </c>
      <c r="H47" s="658">
        <v>0.2</v>
      </c>
    </row>
    <row r="48" spans="1:8">
      <c r="A48" s="642">
        <f t="shared" si="2"/>
        <v>2.2499999999999947</v>
      </c>
      <c r="B48" s="658" t="s">
        <v>1015</v>
      </c>
      <c r="C48" s="659">
        <f t="shared" si="0"/>
        <v>-696420.94000000006</v>
      </c>
      <c r="D48" s="659"/>
      <c r="E48" s="659"/>
      <c r="F48" s="658">
        <v>-139253.12</v>
      </c>
      <c r="G48" s="658">
        <v>0</v>
      </c>
      <c r="H48" s="658">
        <v>-557167.82000000007</v>
      </c>
    </row>
    <row r="49" spans="1:8">
      <c r="A49" s="642">
        <f t="shared" si="2"/>
        <v>2.2599999999999945</v>
      </c>
      <c r="B49" s="643" t="s">
        <v>912</v>
      </c>
      <c r="C49" s="644">
        <f t="shared" si="0"/>
        <v>424337.95999999996</v>
      </c>
      <c r="D49" s="644"/>
      <c r="E49" s="644"/>
      <c r="F49" s="643">
        <v>25.87</v>
      </c>
      <c r="G49" s="643">
        <v>24.11</v>
      </c>
      <c r="H49" s="643">
        <v>424287.98</v>
      </c>
    </row>
    <row r="50" spans="1:8">
      <c r="A50" s="642">
        <f t="shared" si="2"/>
        <v>2.2699999999999942</v>
      </c>
      <c r="B50" s="656" t="s">
        <v>977</v>
      </c>
      <c r="C50" s="657">
        <f t="shared" si="0"/>
        <v>-34320.93</v>
      </c>
      <c r="D50" s="657"/>
      <c r="E50" s="657"/>
      <c r="F50" s="656">
        <v>-34320.93</v>
      </c>
      <c r="G50" s="656">
        <v>0</v>
      </c>
      <c r="H50" s="656">
        <v>0</v>
      </c>
    </row>
    <row r="51" spans="1:8">
      <c r="A51" s="642">
        <f t="shared" si="2"/>
        <v>2.279999999999994</v>
      </c>
      <c r="B51" s="656" t="s">
        <v>978</v>
      </c>
      <c r="C51" s="657">
        <f t="shared" si="0"/>
        <v>-471.45</v>
      </c>
      <c r="D51" s="657"/>
      <c r="E51" s="657"/>
      <c r="F51" s="656">
        <v>-471.45</v>
      </c>
      <c r="G51" s="656">
        <v>0</v>
      </c>
      <c r="H51" s="656">
        <v>0</v>
      </c>
    </row>
    <row r="52" spans="1:8">
      <c r="A52" s="642">
        <f t="shared" si="2"/>
        <v>2.2899999999999938</v>
      </c>
      <c r="B52" s="658" t="s">
        <v>913</v>
      </c>
      <c r="C52" s="659">
        <f t="shared" si="0"/>
        <v>0</v>
      </c>
      <c r="D52" s="659"/>
      <c r="E52" s="659"/>
      <c r="F52" s="658">
        <v>0</v>
      </c>
      <c r="G52" s="658">
        <v>0</v>
      </c>
      <c r="H52" s="658">
        <v>0</v>
      </c>
    </row>
    <row r="53" spans="1:8">
      <c r="A53" s="642">
        <f t="shared" si="2"/>
        <v>2.2999999999999936</v>
      </c>
      <c r="B53" s="658" t="s">
        <v>914</v>
      </c>
      <c r="C53" s="659">
        <f t="shared" si="0"/>
        <v>1345142.8399999999</v>
      </c>
      <c r="D53" s="659"/>
      <c r="E53" s="659"/>
      <c r="F53" s="658">
        <v>609856.04</v>
      </c>
      <c r="G53" s="658">
        <v>15900.34</v>
      </c>
      <c r="H53" s="658">
        <v>719386.46</v>
      </c>
    </row>
    <row r="54" spans="1:8">
      <c r="A54" s="642">
        <f t="shared" si="2"/>
        <v>2.3099999999999934</v>
      </c>
      <c r="B54" s="643" t="s">
        <v>979</v>
      </c>
      <c r="C54" s="644">
        <f t="shared" si="0"/>
        <v>2520</v>
      </c>
      <c r="D54" s="644"/>
      <c r="E54" s="644"/>
      <c r="F54" s="643">
        <v>0</v>
      </c>
      <c r="G54" s="643">
        <v>0</v>
      </c>
      <c r="H54" s="643">
        <v>2520</v>
      </c>
    </row>
    <row r="55" spans="1:8">
      <c r="A55" s="642">
        <f t="shared" si="2"/>
        <v>2.3199999999999932</v>
      </c>
      <c r="B55" s="658" t="s">
        <v>915</v>
      </c>
      <c r="C55" s="659">
        <f t="shared" si="0"/>
        <v>2860073.79</v>
      </c>
      <c r="D55" s="659"/>
      <c r="E55" s="659"/>
      <c r="F55" s="658">
        <v>995992.70000000007</v>
      </c>
      <c r="G55" s="658">
        <v>24864.31</v>
      </c>
      <c r="H55" s="658">
        <v>1839216.78</v>
      </c>
    </row>
    <row r="56" spans="1:8">
      <c r="A56" s="642">
        <f t="shared" si="2"/>
        <v>2.329999999999993</v>
      </c>
      <c r="B56" s="677" t="s">
        <v>1110</v>
      </c>
      <c r="C56" s="484">
        <f t="shared" si="0"/>
        <v>-0.24</v>
      </c>
      <c r="D56" s="484"/>
      <c r="E56" s="484"/>
      <c r="F56" s="677">
        <v>-0.13</v>
      </c>
      <c r="G56" s="677">
        <v>0</v>
      </c>
      <c r="H56" s="677">
        <v>-0.11</v>
      </c>
    </row>
    <row r="57" spans="1:8">
      <c r="A57" s="642">
        <f t="shared" si="2"/>
        <v>2.3399999999999928</v>
      </c>
      <c r="B57" s="658" t="s">
        <v>916</v>
      </c>
      <c r="C57" s="659">
        <f t="shared" si="0"/>
        <v>130896.3</v>
      </c>
      <c r="D57" s="659"/>
      <c r="E57" s="659"/>
      <c r="F57" s="658">
        <v>207.37</v>
      </c>
      <c r="G57" s="658">
        <v>0</v>
      </c>
      <c r="H57" s="658">
        <v>130688.93000000001</v>
      </c>
    </row>
    <row r="58" spans="1:8">
      <c r="A58" s="642">
        <f t="shared" si="2"/>
        <v>2.3499999999999925</v>
      </c>
      <c r="B58" s="643" t="s">
        <v>1111</v>
      </c>
      <c r="C58" s="644">
        <f t="shared" si="0"/>
        <v>-0.01</v>
      </c>
      <c r="D58" s="644"/>
      <c r="E58" s="644"/>
      <c r="F58" s="643">
        <v>0</v>
      </c>
      <c r="G58" s="643">
        <v>0</v>
      </c>
      <c r="H58" s="643">
        <v>-0.01</v>
      </c>
    </row>
    <row r="59" spans="1:8">
      <c r="A59" s="642">
        <f t="shared" si="2"/>
        <v>2.3599999999999923</v>
      </c>
      <c r="B59" s="658" t="s">
        <v>917</v>
      </c>
      <c r="C59" s="659">
        <f t="shared" si="0"/>
        <v>381128.29</v>
      </c>
      <c r="D59" s="659"/>
      <c r="E59" s="659"/>
      <c r="F59" s="658">
        <v>-0.21</v>
      </c>
      <c r="G59" s="658">
        <v>0</v>
      </c>
      <c r="H59" s="658">
        <v>381128.5</v>
      </c>
    </row>
    <row r="60" spans="1:8">
      <c r="A60" s="642">
        <f t="shared" si="2"/>
        <v>2.3699999999999921</v>
      </c>
      <c r="B60" s="643" t="s">
        <v>918</v>
      </c>
      <c r="C60" s="644">
        <f t="shared" si="0"/>
        <v>0</v>
      </c>
      <c r="D60" s="644"/>
      <c r="E60" s="644"/>
      <c r="F60" s="643">
        <v>0</v>
      </c>
      <c r="G60" s="643">
        <v>0</v>
      </c>
      <c r="H60" s="643">
        <v>0</v>
      </c>
    </row>
    <row r="61" spans="1:8">
      <c r="A61" s="642">
        <f t="shared" si="2"/>
        <v>2.3799999999999919</v>
      </c>
      <c r="B61" s="643" t="s">
        <v>919</v>
      </c>
      <c r="C61" s="644">
        <f t="shared" si="0"/>
        <v>0.32999999998719431</v>
      </c>
      <c r="D61" s="644"/>
      <c r="E61" s="644"/>
      <c r="F61" s="643">
        <v>0</v>
      </c>
      <c r="G61" s="643">
        <v>0.17999999999301508</v>
      </c>
      <c r="H61" s="643">
        <v>0.14999999999417923</v>
      </c>
    </row>
    <row r="62" spans="1:8">
      <c r="A62" s="642">
        <f t="shared" si="2"/>
        <v>2.3899999999999917</v>
      </c>
      <c r="B62" s="677" t="s">
        <v>920</v>
      </c>
      <c r="C62" s="484">
        <f t="shared" si="0"/>
        <v>0</v>
      </c>
      <c r="D62" s="484"/>
      <c r="E62" s="484"/>
      <c r="F62" s="677">
        <v>0</v>
      </c>
      <c r="G62" s="677">
        <v>0</v>
      </c>
      <c r="H62" s="677">
        <v>0</v>
      </c>
    </row>
    <row r="63" spans="1:8">
      <c r="A63" s="642">
        <f t="shared" si="2"/>
        <v>2.3999999999999915</v>
      </c>
      <c r="B63" s="643" t="s">
        <v>1189</v>
      </c>
      <c r="C63" s="644">
        <f t="shared" si="0"/>
        <v>-105000</v>
      </c>
      <c r="D63" s="644"/>
      <c r="E63" s="644"/>
      <c r="F63" s="643">
        <v>0</v>
      </c>
      <c r="G63" s="643">
        <v>0</v>
      </c>
      <c r="H63" s="643">
        <v>-105000</v>
      </c>
    </row>
    <row r="64" spans="1:8">
      <c r="A64" s="642">
        <f t="shared" si="2"/>
        <v>2.4099999999999913</v>
      </c>
      <c r="B64" s="656" t="s">
        <v>921</v>
      </c>
      <c r="C64" s="657">
        <f t="shared" si="0"/>
        <v>0</v>
      </c>
      <c r="D64" s="657"/>
      <c r="E64" s="657"/>
      <c r="F64" s="656">
        <v>0</v>
      </c>
      <c r="G64" s="656">
        <v>0</v>
      </c>
      <c r="H64" s="656">
        <v>0</v>
      </c>
    </row>
    <row r="65" spans="1:8">
      <c r="A65" s="642">
        <f t="shared" si="2"/>
        <v>2.419999999999991</v>
      </c>
      <c r="B65" s="643" t="s">
        <v>922</v>
      </c>
      <c r="C65" s="644">
        <f t="shared" si="0"/>
        <v>0</v>
      </c>
      <c r="D65" s="644"/>
      <c r="E65" s="644"/>
      <c r="F65" s="643">
        <v>0</v>
      </c>
      <c r="G65" s="643">
        <v>0</v>
      </c>
      <c r="H65" s="643">
        <v>0</v>
      </c>
    </row>
    <row r="66" spans="1:8">
      <c r="A66" s="642">
        <f t="shared" si="2"/>
        <v>2.4299999999999908</v>
      </c>
      <c r="B66" s="643" t="s">
        <v>980</v>
      </c>
      <c r="C66" s="644">
        <f t="shared" si="0"/>
        <v>0</v>
      </c>
      <c r="D66" s="644"/>
      <c r="E66" s="644"/>
      <c r="F66" s="643">
        <v>0</v>
      </c>
      <c r="G66" s="643">
        <v>0</v>
      </c>
      <c r="H66" s="643">
        <v>0</v>
      </c>
    </row>
    <row r="67" spans="1:8">
      <c r="A67" s="642">
        <f t="shared" si="2"/>
        <v>2.4399999999999906</v>
      </c>
      <c r="B67" s="643" t="s">
        <v>923</v>
      </c>
      <c r="C67" s="644">
        <f t="shared" si="0"/>
        <v>0.01</v>
      </c>
      <c r="D67" s="644"/>
      <c r="E67" s="644"/>
      <c r="F67" s="643">
        <v>0.01</v>
      </c>
      <c r="G67" s="643">
        <v>0</v>
      </c>
      <c r="H67" s="643">
        <v>0</v>
      </c>
    </row>
    <row r="68" spans="1:8">
      <c r="A68" s="642">
        <f t="shared" si="2"/>
        <v>2.4499999999999904</v>
      </c>
      <c r="B68" s="643" t="s">
        <v>924</v>
      </c>
      <c r="C68" s="644">
        <f t="shared" si="0"/>
        <v>206411.48</v>
      </c>
      <c r="D68" s="644"/>
      <c r="E68" s="644"/>
      <c r="F68" s="643">
        <v>206411.48</v>
      </c>
      <c r="G68" s="643">
        <v>0</v>
      </c>
      <c r="H68" s="643">
        <v>0</v>
      </c>
    </row>
    <row r="69" spans="1:8">
      <c r="A69" s="642">
        <f t="shared" si="2"/>
        <v>2.4599999999999902</v>
      </c>
      <c r="B69" s="643" t="s">
        <v>925</v>
      </c>
      <c r="C69" s="644">
        <f t="shared" si="0"/>
        <v>-0.11</v>
      </c>
      <c r="D69" s="644"/>
      <c r="E69" s="644"/>
      <c r="F69" s="643">
        <v>-0.11</v>
      </c>
      <c r="G69" s="643">
        <v>0</v>
      </c>
      <c r="H69" s="643">
        <v>0</v>
      </c>
    </row>
    <row r="70" spans="1:8">
      <c r="A70" s="642">
        <f t="shared" si="2"/>
        <v>2.46999999999999</v>
      </c>
      <c r="B70" s="677" t="s">
        <v>1112</v>
      </c>
      <c r="C70" s="484">
        <f t="shared" si="0"/>
        <v>-0.21</v>
      </c>
      <c r="D70" s="484"/>
      <c r="E70" s="484"/>
      <c r="F70" s="677">
        <v>0</v>
      </c>
      <c r="G70" s="677">
        <v>0</v>
      </c>
      <c r="H70" s="677">
        <v>-0.21</v>
      </c>
    </row>
    <row r="71" spans="1:8">
      <c r="A71" s="642">
        <f t="shared" si="2"/>
        <v>2.4799999999999898</v>
      </c>
      <c r="B71" s="643" t="s">
        <v>926</v>
      </c>
      <c r="C71" s="644">
        <f t="shared" si="0"/>
        <v>11.66</v>
      </c>
      <c r="D71" s="644"/>
      <c r="E71" s="644"/>
      <c r="F71" s="643">
        <v>0</v>
      </c>
      <c r="G71" s="643">
        <v>11.66</v>
      </c>
      <c r="H71" s="643">
        <v>0</v>
      </c>
    </row>
    <row r="72" spans="1:8">
      <c r="A72" s="642">
        <f t="shared" si="2"/>
        <v>2.4899999999999896</v>
      </c>
      <c r="B72" s="656" t="s">
        <v>927</v>
      </c>
      <c r="C72" s="657">
        <f t="shared" si="0"/>
        <v>1841.08</v>
      </c>
      <c r="D72" s="657"/>
      <c r="E72" s="657"/>
      <c r="F72" s="656">
        <v>0</v>
      </c>
      <c r="G72" s="656">
        <v>1841.08</v>
      </c>
      <c r="H72" s="656">
        <v>0</v>
      </c>
    </row>
    <row r="73" spans="1:8">
      <c r="A73" s="642">
        <f t="shared" si="2"/>
        <v>2.4999999999999893</v>
      </c>
      <c r="B73" s="643" t="s">
        <v>1112</v>
      </c>
      <c r="C73" s="644">
        <f t="shared" si="0"/>
        <v>0</v>
      </c>
      <c r="D73" s="644"/>
      <c r="E73" s="644"/>
      <c r="F73" s="643">
        <v>0</v>
      </c>
      <c r="G73" s="643">
        <v>0</v>
      </c>
      <c r="H73" s="643">
        <v>0</v>
      </c>
    </row>
    <row r="74" spans="1:8">
      <c r="A74" s="642">
        <f t="shared" si="2"/>
        <v>2.5099999999999891</v>
      </c>
      <c r="B74" s="643" t="s">
        <v>981</v>
      </c>
      <c r="C74" s="644">
        <f t="shared" si="0"/>
        <v>0</v>
      </c>
      <c r="D74" s="644"/>
      <c r="E74" s="644"/>
      <c r="F74" s="643">
        <v>0</v>
      </c>
      <c r="G74" s="643">
        <v>0</v>
      </c>
      <c r="H74" s="643">
        <v>0</v>
      </c>
    </row>
    <row r="75" spans="1:8">
      <c r="A75" s="642">
        <f t="shared" si="2"/>
        <v>2.5199999999999889</v>
      </c>
      <c r="B75" s="643" t="s">
        <v>982</v>
      </c>
      <c r="C75" s="644">
        <f t="shared" si="0"/>
        <v>0</v>
      </c>
      <c r="D75" s="644"/>
      <c r="E75" s="644"/>
      <c r="F75" s="643">
        <v>0</v>
      </c>
      <c r="G75" s="643">
        <v>0</v>
      </c>
      <c r="H75" s="643">
        <v>0</v>
      </c>
    </row>
    <row r="76" spans="1:8">
      <c r="A76" s="642">
        <f t="shared" si="2"/>
        <v>2.5299999999999887</v>
      </c>
      <c r="B76" s="677" t="s">
        <v>983</v>
      </c>
      <c r="C76" s="484">
        <f t="shared" si="0"/>
        <v>0</v>
      </c>
      <c r="D76" s="484"/>
      <c r="E76" s="484"/>
      <c r="F76" s="677">
        <v>0</v>
      </c>
      <c r="G76" s="677">
        <v>0</v>
      </c>
      <c r="H76" s="677">
        <v>0</v>
      </c>
    </row>
    <row r="77" spans="1:8">
      <c r="A77" s="642">
        <f t="shared" si="2"/>
        <v>2.5399999999999885</v>
      </c>
      <c r="B77" s="677" t="s">
        <v>1178</v>
      </c>
      <c r="C77" s="484">
        <f t="shared" si="0"/>
        <v>-320852.28999999998</v>
      </c>
      <c r="D77" s="484"/>
      <c r="E77" s="484"/>
      <c r="F77" s="677">
        <v>0</v>
      </c>
      <c r="G77" s="677">
        <v>0</v>
      </c>
      <c r="H77" s="677">
        <v>-320852.28999999998</v>
      </c>
    </row>
    <row r="78" spans="1:8">
      <c r="A78" s="642">
        <f t="shared" si="2"/>
        <v>2.5499999999999883</v>
      </c>
      <c r="B78" s="656" t="s">
        <v>984</v>
      </c>
      <c r="C78" s="657">
        <f t="shared" si="0"/>
        <v>96264.6</v>
      </c>
      <c r="D78" s="657"/>
      <c r="E78" s="657"/>
      <c r="F78" s="656">
        <v>96264.6</v>
      </c>
      <c r="G78" s="656">
        <v>0</v>
      </c>
      <c r="H78" s="656">
        <v>0</v>
      </c>
    </row>
    <row r="79" spans="1:8">
      <c r="A79" s="642">
        <f t="shared" si="2"/>
        <v>2.5599999999999881</v>
      </c>
      <c r="B79" s="656" t="s">
        <v>928</v>
      </c>
      <c r="C79" s="657">
        <f t="shared" si="0"/>
        <v>228013.71</v>
      </c>
      <c r="D79" s="657"/>
      <c r="E79" s="657"/>
      <c r="F79" s="656">
        <v>228013.71</v>
      </c>
      <c r="G79" s="656">
        <v>0</v>
      </c>
      <c r="H79" s="656">
        <v>0</v>
      </c>
    </row>
    <row r="80" spans="1:8">
      <c r="A80" s="642">
        <f t="shared" si="2"/>
        <v>2.5699999999999878</v>
      </c>
      <c r="B80" s="656" t="s">
        <v>985</v>
      </c>
      <c r="C80" s="657">
        <f t="shared" si="0"/>
        <v>0</v>
      </c>
      <c r="D80" s="657"/>
      <c r="E80" s="657"/>
      <c r="F80" s="656">
        <v>0</v>
      </c>
      <c r="G80" s="656">
        <v>0</v>
      </c>
      <c r="H80" s="656">
        <v>0</v>
      </c>
    </row>
    <row r="81" spans="1:8">
      <c r="A81" s="642">
        <f t="shared" si="2"/>
        <v>2.5799999999999876</v>
      </c>
      <c r="B81" s="677" t="s">
        <v>929</v>
      </c>
      <c r="C81" s="484">
        <f t="shared" si="0"/>
        <v>481549.49</v>
      </c>
      <c r="D81" s="484"/>
      <c r="E81" s="484"/>
      <c r="F81" s="677">
        <v>0</v>
      </c>
      <c r="G81" s="677">
        <v>3126.79</v>
      </c>
      <c r="H81" s="677">
        <v>478422.7</v>
      </c>
    </row>
    <row r="82" spans="1:8">
      <c r="A82" s="642">
        <f t="shared" si="2"/>
        <v>2.5899999999999874</v>
      </c>
      <c r="B82" s="643" t="s">
        <v>1190</v>
      </c>
      <c r="C82" s="644">
        <f t="shared" si="0"/>
        <v>186305.2</v>
      </c>
      <c r="D82" s="644"/>
      <c r="E82" s="644"/>
      <c r="F82" s="643">
        <v>186305.07</v>
      </c>
      <c r="G82" s="643">
        <v>0.13</v>
      </c>
      <c r="H82" s="643">
        <v>0</v>
      </c>
    </row>
    <row r="83" spans="1:8">
      <c r="A83" s="642">
        <f t="shared" si="2"/>
        <v>2.5999999999999872</v>
      </c>
      <c r="B83" s="656" t="s">
        <v>986</v>
      </c>
      <c r="C83" s="657">
        <f t="shared" si="0"/>
        <v>-4592505.08</v>
      </c>
      <c r="D83" s="657"/>
      <c r="E83" s="657"/>
      <c r="F83" s="656">
        <v>-4565317.01</v>
      </c>
      <c r="G83" s="656">
        <v>0</v>
      </c>
      <c r="H83" s="656">
        <v>-27188.07</v>
      </c>
    </row>
    <row r="84" spans="1:8">
      <c r="A84" s="642">
        <f t="shared" si="2"/>
        <v>2.609999999999987</v>
      </c>
      <c r="B84" s="643" t="s">
        <v>987</v>
      </c>
      <c r="C84" s="644">
        <f t="shared" si="0"/>
        <v>338080.10000000003</v>
      </c>
      <c r="D84" s="644"/>
      <c r="E84" s="644"/>
      <c r="F84" s="643">
        <v>338080.10000000003</v>
      </c>
      <c r="G84" s="643">
        <v>0</v>
      </c>
      <c r="H84" s="643">
        <v>0</v>
      </c>
    </row>
    <row r="85" spans="1:8">
      <c r="A85" s="642">
        <f t="shared" si="2"/>
        <v>2.6199999999999868</v>
      </c>
      <c r="B85" s="658" t="s">
        <v>988</v>
      </c>
      <c r="C85" s="659">
        <f t="shared" si="0"/>
        <v>70909.08</v>
      </c>
      <c r="D85" s="659"/>
      <c r="E85" s="659"/>
      <c r="F85" s="658">
        <v>506.58</v>
      </c>
      <c r="G85" s="658">
        <v>784.74</v>
      </c>
      <c r="H85" s="658">
        <v>69617.759999999995</v>
      </c>
    </row>
    <row r="86" spans="1:8">
      <c r="A86" s="642">
        <f t="shared" si="2"/>
        <v>2.6299999999999866</v>
      </c>
      <c r="B86" s="677" t="s">
        <v>989</v>
      </c>
      <c r="C86" s="484">
        <f t="shared" si="0"/>
        <v>764427.3</v>
      </c>
      <c r="D86" s="484"/>
      <c r="E86" s="484"/>
      <c r="F86" s="677">
        <v>0</v>
      </c>
      <c r="G86" s="677">
        <v>764427.3</v>
      </c>
      <c r="H86" s="677">
        <v>0</v>
      </c>
    </row>
    <row r="87" spans="1:8">
      <c r="A87" s="642">
        <f t="shared" si="2"/>
        <v>2.6399999999999864</v>
      </c>
      <c r="B87" s="658" t="s">
        <v>930</v>
      </c>
      <c r="C87" s="659">
        <f t="shared" si="0"/>
        <v>-24300062.119999997</v>
      </c>
      <c r="D87" s="659"/>
      <c r="E87" s="659"/>
      <c r="F87" s="658">
        <v>-12447089.289999999</v>
      </c>
      <c r="G87" s="658">
        <v>-2074084.35</v>
      </c>
      <c r="H87" s="658">
        <v>-9778888.4800000004</v>
      </c>
    </row>
    <row r="88" spans="1:8">
      <c r="A88" s="642">
        <f t="shared" si="2"/>
        <v>2.6499999999999861</v>
      </c>
      <c r="B88" s="658" t="s">
        <v>931</v>
      </c>
      <c r="C88" s="659">
        <f t="shared" si="0"/>
        <v>6912092.46</v>
      </c>
      <c r="D88" s="659"/>
      <c r="E88" s="659"/>
      <c r="F88" s="658">
        <v>3458318.85</v>
      </c>
      <c r="G88" s="658">
        <v>313952.73</v>
      </c>
      <c r="H88" s="658">
        <v>3139820.88</v>
      </c>
    </row>
    <row r="89" spans="1:8">
      <c r="A89" s="642">
        <f t="shared" si="2"/>
        <v>2.6599999999999859</v>
      </c>
      <c r="B89" s="658" t="s">
        <v>932</v>
      </c>
      <c r="C89" s="659">
        <f t="shared" si="0"/>
        <v>4402315.71</v>
      </c>
      <c r="D89" s="659"/>
      <c r="E89" s="659"/>
      <c r="F89" s="658">
        <v>1928960.8399999999</v>
      </c>
      <c r="G89" s="658">
        <v>261217.49000000002</v>
      </c>
      <c r="H89" s="658">
        <v>2212137.38</v>
      </c>
    </row>
    <row r="90" spans="1:8">
      <c r="A90" s="642">
        <f t="shared" si="2"/>
        <v>2.6699999999999857</v>
      </c>
      <c r="B90" s="658" t="s">
        <v>990</v>
      </c>
      <c r="C90" s="659">
        <f t="shared" ref="C90:C114" si="3">SUM(F90:H90)</f>
        <v>3145591.52</v>
      </c>
      <c r="D90" s="659"/>
      <c r="E90" s="659"/>
      <c r="F90" s="658">
        <v>1166571.45</v>
      </c>
      <c r="G90" s="658">
        <v>43918.79</v>
      </c>
      <c r="H90" s="658">
        <v>1935101.28</v>
      </c>
    </row>
    <row r="91" spans="1:8">
      <c r="A91" s="642">
        <f t="shared" ref="A91:A126" si="4">A90+0.01</f>
        <v>2.6799999999999855</v>
      </c>
      <c r="B91" s="639" t="s">
        <v>991</v>
      </c>
      <c r="C91" s="488">
        <f t="shared" si="3"/>
        <v>94912129.970000014</v>
      </c>
      <c r="D91" s="488"/>
      <c r="E91" s="488"/>
      <c r="F91" s="639">
        <v>94680919.680000007</v>
      </c>
      <c r="G91" s="639">
        <v>7505.81</v>
      </c>
      <c r="H91" s="639">
        <v>223704.48</v>
      </c>
    </row>
    <row r="92" spans="1:8">
      <c r="A92" s="642">
        <f t="shared" si="4"/>
        <v>2.6899999999999853</v>
      </c>
      <c r="B92" s="639" t="s">
        <v>992</v>
      </c>
      <c r="C92" s="488">
        <f t="shared" si="3"/>
        <v>2521009.31</v>
      </c>
      <c r="D92" s="488"/>
      <c r="E92" s="488"/>
      <c r="F92" s="639">
        <v>2521009.31</v>
      </c>
      <c r="G92" s="639">
        <v>0</v>
      </c>
      <c r="H92" s="639">
        <v>0</v>
      </c>
    </row>
    <row r="93" spans="1:8">
      <c r="A93" s="642">
        <f t="shared" si="4"/>
        <v>2.6999999999999851</v>
      </c>
      <c r="B93" s="643" t="s">
        <v>1084</v>
      </c>
      <c r="C93" s="644">
        <f t="shared" si="3"/>
        <v>15614584.32</v>
      </c>
      <c r="D93" s="644"/>
      <c r="E93" s="644"/>
      <c r="F93" s="643">
        <v>7269911.3099999996</v>
      </c>
      <c r="G93" s="643">
        <v>154658.82</v>
      </c>
      <c r="H93" s="643">
        <v>8190014.1900000004</v>
      </c>
    </row>
    <row r="94" spans="1:8">
      <c r="A94" s="642">
        <f t="shared" si="4"/>
        <v>2.7099999999999849</v>
      </c>
      <c r="B94" s="658" t="s">
        <v>993</v>
      </c>
      <c r="C94" s="658">
        <f t="shared" si="3"/>
        <v>0</v>
      </c>
      <c r="D94" s="659"/>
      <c r="E94" s="659"/>
      <c r="F94" s="658">
        <v>0</v>
      </c>
      <c r="G94" s="658">
        <v>0</v>
      </c>
      <c r="H94" s="658">
        <v>0</v>
      </c>
    </row>
    <row r="95" spans="1:8">
      <c r="A95" s="642">
        <f t="shared" si="4"/>
        <v>2.7199999999999847</v>
      </c>
      <c r="B95" s="643" t="s">
        <v>994</v>
      </c>
      <c r="C95" s="644">
        <f t="shared" si="3"/>
        <v>0</v>
      </c>
      <c r="D95" s="644"/>
      <c r="E95" s="644"/>
      <c r="F95" s="643">
        <v>0</v>
      </c>
      <c r="G95" s="643">
        <v>0</v>
      </c>
      <c r="H95" s="643">
        <v>0</v>
      </c>
    </row>
    <row r="96" spans="1:8">
      <c r="A96" s="642">
        <f t="shared" si="4"/>
        <v>2.7299999999999844</v>
      </c>
      <c r="B96" s="643" t="s">
        <v>933</v>
      </c>
      <c r="C96" s="644">
        <f t="shared" si="3"/>
        <v>65643629.25</v>
      </c>
      <c r="D96" s="644"/>
      <c r="E96" s="644"/>
      <c r="F96" s="643">
        <v>5981989.46</v>
      </c>
      <c r="G96" s="643">
        <v>19405661.359999999</v>
      </c>
      <c r="H96" s="643">
        <v>40255978.43</v>
      </c>
    </row>
    <row r="97" spans="1:8">
      <c r="A97" s="642">
        <f t="shared" si="4"/>
        <v>2.7399999999999842</v>
      </c>
      <c r="B97" s="643" t="s">
        <v>934</v>
      </c>
      <c r="C97" s="644">
        <f t="shared" si="3"/>
        <v>0</v>
      </c>
      <c r="D97" s="644"/>
      <c r="E97" s="644"/>
      <c r="F97" s="643">
        <v>0</v>
      </c>
      <c r="G97" s="643">
        <v>0</v>
      </c>
      <c r="H97" s="643">
        <v>0</v>
      </c>
    </row>
    <row r="98" spans="1:8">
      <c r="A98" s="642">
        <f t="shared" si="4"/>
        <v>2.749999999999984</v>
      </c>
      <c r="B98" s="643" t="s">
        <v>436</v>
      </c>
      <c r="C98" s="644">
        <f t="shared" si="3"/>
        <v>4080119.5700000003</v>
      </c>
      <c r="D98" s="644"/>
      <c r="E98" s="644"/>
      <c r="F98" s="643">
        <v>1514814.42</v>
      </c>
      <c r="G98" s="643">
        <v>1085083.1200000001</v>
      </c>
      <c r="H98" s="643">
        <v>1480222.0300000003</v>
      </c>
    </row>
    <row r="99" spans="1:8">
      <c r="A99" s="642">
        <f t="shared" si="4"/>
        <v>2.7599999999999838</v>
      </c>
      <c r="B99" s="643" t="s">
        <v>935</v>
      </c>
      <c r="C99" s="644">
        <f t="shared" si="3"/>
        <v>0</v>
      </c>
      <c r="D99" s="644"/>
      <c r="E99" s="644"/>
      <c r="F99" s="643">
        <v>0</v>
      </c>
      <c r="G99" s="643">
        <v>0</v>
      </c>
      <c r="H99" s="643">
        <v>0</v>
      </c>
    </row>
    <row r="100" spans="1:8">
      <c r="A100" s="642">
        <f t="shared" si="4"/>
        <v>2.7699999999999836</v>
      </c>
      <c r="B100" s="643" t="s">
        <v>936</v>
      </c>
      <c r="C100" s="644">
        <f t="shared" si="3"/>
        <v>0</v>
      </c>
      <c r="D100" s="644"/>
      <c r="E100" s="644"/>
      <c r="F100" s="643">
        <v>0</v>
      </c>
      <c r="G100" s="643">
        <v>0</v>
      </c>
      <c r="H100" s="643">
        <v>0</v>
      </c>
    </row>
    <row r="101" spans="1:8">
      <c r="A101" s="642">
        <f t="shared" si="4"/>
        <v>2.7799999999999834</v>
      </c>
      <c r="B101" s="643" t="s">
        <v>995</v>
      </c>
      <c r="C101" s="644">
        <f t="shared" si="3"/>
        <v>4.0000000124564394E-2</v>
      </c>
      <c r="D101" s="644"/>
      <c r="E101" s="644"/>
      <c r="F101" s="643">
        <v>0.2400000000197906</v>
      </c>
      <c r="G101" s="643">
        <v>0.12000000005355105</v>
      </c>
      <c r="H101" s="643">
        <v>-0.31999999994877726</v>
      </c>
    </row>
    <row r="102" spans="1:8">
      <c r="A102" s="642">
        <f t="shared" si="4"/>
        <v>2.7899999999999832</v>
      </c>
      <c r="B102" s="643" t="s">
        <v>996</v>
      </c>
      <c r="C102" s="644">
        <f t="shared" si="3"/>
        <v>0</v>
      </c>
      <c r="D102" s="644"/>
      <c r="E102" s="644"/>
      <c r="F102" s="643">
        <v>0</v>
      </c>
      <c r="G102" s="643">
        <v>0</v>
      </c>
      <c r="H102" s="643">
        <v>0</v>
      </c>
    </row>
    <row r="103" spans="1:8">
      <c r="A103" s="642">
        <f t="shared" si="4"/>
        <v>2.7999999999999829</v>
      </c>
      <c r="B103" s="643" t="s">
        <v>937</v>
      </c>
      <c r="C103" s="644">
        <f t="shared" si="3"/>
        <v>0</v>
      </c>
      <c r="D103" s="644"/>
      <c r="E103" s="644"/>
      <c r="F103" s="643">
        <v>0</v>
      </c>
      <c r="G103" s="643">
        <v>0</v>
      </c>
      <c r="H103" s="643">
        <v>0</v>
      </c>
    </row>
    <row r="104" spans="1:8">
      <c r="A104" s="642">
        <f t="shared" si="4"/>
        <v>2.8099999999999827</v>
      </c>
      <c r="B104" s="643" t="s">
        <v>1066</v>
      </c>
      <c r="C104" s="644">
        <f t="shared" si="3"/>
        <v>0.04</v>
      </c>
      <c r="D104" s="644"/>
      <c r="E104" s="644"/>
      <c r="F104" s="643">
        <v>0.04</v>
      </c>
      <c r="G104" s="643">
        <v>-0.04</v>
      </c>
      <c r="H104" s="643">
        <v>0.04</v>
      </c>
    </row>
    <row r="105" spans="1:8">
      <c r="A105" s="642">
        <f t="shared" si="4"/>
        <v>2.8199999999999825</v>
      </c>
      <c r="B105" s="643" t="s">
        <v>938</v>
      </c>
      <c r="C105" s="644">
        <f t="shared" si="3"/>
        <v>0</v>
      </c>
      <c r="D105" s="644"/>
      <c r="E105" s="644"/>
      <c r="F105" s="643">
        <v>0</v>
      </c>
      <c r="G105" s="643">
        <v>0</v>
      </c>
      <c r="H105" s="643">
        <v>0</v>
      </c>
    </row>
    <row r="106" spans="1:8">
      <c r="A106" s="642">
        <f t="shared" si="4"/>
        <v>2.8299999999999823</v>
      </c>
      <c r="B106" s="643" t="s">
        <v>939</v>
      </c>
      <c r="C106" s="644">
        <f t="shared" si="3"/>
        <v>0</v>
      </c>
      <c r="D106" s="644"/>
      <c r="E106" s="644"/>
      <c r="F106" s="643">
        <v>0</v>
      </c>
      <c r="G106" s="643">
        <v>0</v>
      </c>
      <c r="H106" s="643">
        <v>0</v>
      </c>
    </row>
    <row r="107" spans="1:8">
      <c r="A107" s="642">
        <f t="shared" si="4"/>
        <v>2.8399999999999821</v>
      </c>
      <c r="B107" s="643" t="s">
        <v>940</v>
      </c>
      <c r="C107" s="644">
        <f t="shared" si="3"/>
        <v>572046.42000000004</v>
      </c>
      <c r="D107" s="644"/>
      <c r="E107" s="644"/>
      <c r="F107" s="643">
        <v>0</v>
      </c>
      <c r="G107" s="643">
        <v>0</v>
      </c>
      <c r="H107" s="643">
        <v>572046.42000000004</v>
      </c>
    </row>
    <row r="108" spans="1:8">
      <c r="A108" s="642">
        <f t="shared" si="4"/>
        <v>2.8499999999999819</v>
      </c>
      <c r="B108" s="643" t="s">
        <v>941</v>
      </c>
      <c r="C108" s="644">
        <f t="shared" si="3"/>
        <v>0</v>
      </c>
      <c r="D108" s="644"/>
      <c r="E108" s="644"/>
      <c r="F108" s="643">
        <v>0</v>
      </c>
      <c r="G108" s="643">
        <v>0</v>
      </c>
      <c r="H108" s="643">
        <v>0</v>
      </c>
    </row>
    <row r="109" spans="1:8">
      <c r="A109" s="642">
        <f t="shared" si="4"/>
        <v>2.8599999999999817</v>
      </c>
      <c r="B109" s="643" t="s">
        <v>942</v>
      </c>
      <c r="C109" s="644">
        <f t="shared" si="3"/>
        <v>2124020.87</v>
      </c>
      <c r="D109" s="644"/>
      <c r="E109" s="644"/>
      <c r="F109" s="643">
        <v>541817.27</v>
      </c>
      <c r="G109" s="643">
        <v>1147746.3900000001</v>
      </c>
      <c r="H109" s="643">
        <v>434457.21</v>
      </c>
    </row>
    <row r="110" spans="1:8">
      <c r="A110" s="642">
        <f t="shared" si="4"/>
        <v>2.8699999999999815</v>
      </c>
      <c r="B110" s="643" t="s">
        <v>997</v>
      </c>
      <c r="C110" s="644">
        <f t="shared" si="3"/>
        <v>0</v>
      </c>
      <c r="D110" s="644"/>
      <c r="E110" s="644"/>
      <c r="F110" s="643">
        <v>0</v>
      </c>
      <c r="G110" s="643">
        <v>0</v>
      </c>
      <c r="H110" s="643">
        <v>0</v>
      </c>
    </row>
    <row r="111" spans="1:8">
      <c r="A111" s="642">
        <f t="shared" si="4"/>
        <v>2.8799999999999812</v>
      </c>
      <c r="B111" s="643" t="s">
        <v>1191</v>
      </c>
      <c r="C111" s="644">
        <f t="shared" si="3"/>
        <v>862817.34000000008</v>
      </c>
      <c r="D111" s="644"/>
      <c r="E111" s="644"/>
      <c r="F111" s="643">
        <v>862817.34000000008</v>
      </c>
      <c r="G111" s="643">
        <v>0</v>
      </c>
      <c r="H111" s="643">
        <v>0</v>
      </c>
    </row>
    <row r="112" spans="1:8">
      <c r="A112" s="642">
        <f t="shared" si="4"/>
        <v>2.889999999999981</v>
      </c>
      <c r="B112" s="643" t="s">
        <v>1016</v>
      </c>
      <c r="C112" s="644">
        <f t="shared" si="3"/>
        <v>40052.32</v>
      </c>
      <c r="D112" s="644"/>
      <c r="E112" s="644"/>
      <c r="F112" s="643">
        <v>4034.7000000000003</v>
      </c>
      <c r="G112" s="643">
        <v>0</v>
      </c>
      <c r="H112" s="643">
        <v>36017.620000000003</v>
      </c>
    </row>
    <row r="113" spans="1:8">
      <c r="A113" s="642">
        <f t="shared" si="4"/>
        <v>2.8999999999999808</v>
      </c>
      <c r="B113" s="643" t="s">
        <v>1017</v>
      </c>
      <c r="C113" s="644">
        <f t="shared" si="3"/>
        <v>1049481.69</v>
      </c>
      <c r="D113" s="644"/>
      <c r="E113" s="644"/>
      <c r="F113" s="643">
        <v>188647.4</v>
      </c>
      <c r="G113" s="643">
        <v>0</v>
      </c>
      <c r="H113" s="643">
        <v>860834.29</v>
      </c>
    </row>
    <row r="114" spans="1:8">
      <c r="A114" s="642">
        <f t="shared" si="4"/>
        <v>2.9099999999999806</v>
      </c>
      <c r="B114" s="643" t="s">
        <v>1138</v>
      </c>
      <c r="C114" s="644">
        <f t="shared" si="3"/>
        <v>-3.9999999999999994E-2</v>
      </c>
      <c r="D114" s="644"/>
      <c r="E114" s="644"/>
      <c r="F114" s="643"/>
      <c r="G114" s="643">
        <v>0.08</v>
      </c>
      <c r="H114" s="643">
        <v>-0.12</v>
      </c>
    </row>
    <row r="115" spans="1:8">
      <c r="A115" s="642">
        <f t="shared" si="4"/>
        <v>2.9199999999999804</v>
      </c>
      <c r="B115" s="643" t="s">
        <v>1192</v>
      </c>
      <c r="C115" s="644">
        <f t="shared" ref="C115" si="5">SUM(F115:H115)</f>
        <v>206197.44</v>
      </c>
      <c r="D115" s="644"/>
      <c r="E115" s="644"/>
      <c r="F115" s="643">
        <v>206197.44</v>
      </c>
      <c r="G115" s="643">
        <v>0</v>
      </c>
      <c r="H115" s="643">
        <v>0</v>
      </c>
    </row>
    <row r="116" spans="1:8">
      <c r="A116" s="642">
        <f t="shared" si="4"/>
        <v>2.9299999999999802</v>
      </c>
      <c r="B116" s="643" t="s">
        <v>455</v>
      </c>
      <c r="C116" s="643">
        <f t="shared" ref="C116:C126" si="6">-D116</f>
        <v>268335.24</v>
      </c>
      <c r="D116" s="644">
        <v>-268335.24</v>
      </c>
      <c r="E116" s="644"/>
      <c r="F116" s="643"/>
      <c r="G116" s="643"/>
      <c r="H116" s="643"/>
    </row>
    <row r="117" spans="1:8">
      <c r="A117" s="642">
        <f t="shared" si="4"/>
        <v>2.93999999999998</v>
      </c>
      <c r="B117" s="643" t="s">
        <v>943</v>
      </c>
      <c r="C117" s="643">
        <f t="shared" si="6"/>
        <v>54319894.909999996</v>
      </c>
      <c r="D117" s="644">
        <v>-54319894.909999996</v>
      </c>
      <c r="E117" s="644"/>
      <c r="F117" s="643"/>
      <c r="G117" s="643"/>
      <c r="H117" s="643"/>
    </row>
    <row r="118" spans="1:8">
      <c r="A118" s="642">
        <f t="shared" si="4"/>
        <v>2.9499999999999797</v>
      </c>
      <c r="B118" s="643" t="s">
        <v>1139</v>
      </c>
      <c r="C118" s="643">
        <f t="shared" si="6"/>
        <v>140129122.00999999</v>
      </c>
      <c r="D118" s="644">
        <v>-140129122.00999999</v>
      </c>
      <c r="E118" s="644"/>
      <c r="F118" s="643"/>
      <c r="G118" s="643"/>
      <c r="H118" s="643"/>
    </row>
    <row r="119" spans="1:8">
      <c r="A119" s="642">
        <f t="shared" si="4"/>
        <v>2.9599999999999795</v>
      </c>
      <c r="B119" s="643" t="s">
        <v>1140</v>
      </c>
      <c r="C119" s="643">
        <f t="shared" si="6"/>
        <v>116038.83</v>
      </c>
      <c r="D119" s="644">
        <v>-116038.83</v>
      </c>
      <c r="E119" s="644"/>
      <c r="F119" s="643"/>
      <c r="G119" s="643"/>
      <c r="H119" s="643"/>
    </row>
    <row r="120" spans="1:8">
      <c r="A120" s="642">
        <f t="shared" si="4"/>
        <v>2.9699999999999793</v>
      </c>
      <c r="B120" s="643" t="s">
        <v>1141</v>
      </c>
      <c r="C120" s="643">
        <f t="shared" si="6"/>
        <v>2637413.34</v>
      </c>
      <c r="D120" s="644">
        <v>-2637413.34</v>
      </c>
      <c r="E120" s="644"/>
      <c r="F120" s="643"/>
      <c r="G120" s="643"/>
      <c r="H120" s="643"/>
    </row>
    <row r="121" spans="1:8">
      <c r="A121" s="642">
        <f t="shared" si="4"/>
        <v>2.9799999999999791</v>
      </c>
      <c r="B121" s="643" t="s">
        <v>1142</v>
      </c>
      <c r="C121" s="643">
        <f t="shared" si="6"/>
        <v>539830.94999999995</v>
      </c>
      <c r="D121" s="644">
        <v>-539830.94999999995</v>
      </c>
      <c r="E121" s="644"/>
      <c r="F121" s="643"/>
      <c r="G121" s="643"/>
      <c r="H121" s="643"/>
    </row>
    <row r="122" spans="1:8">
      <c r="A122" s="642">
        <f t="shared" si="4"/>
        <v>2.9899999999999789</v>
      </c>
      <c r="B122" s="658" t="s">
        <v>944</v>
      </c>
      <c r="C122" s="658">
        <f t="shared" si="6"/>
        <v>3104632.2</v>
      </c>
      <c r="D122" s="659">
        <v>-3104632.2</v>
      </c>
      <c r="E122" s="659"/>
      <c r="F122" s="659"/>
      <c r="G122" s="659"/>
      <c r="H122" s="659"/>
    </row>
    <row r="123" spans="1:8">
      <c r="A123" s="642">
        <f t="shared" si="4"/>
        <v>2.9999999999999787</v>
      </c>
      <c r="B123" s="658" t="s">
        <v>945</v>
      </c>
      <c r="C123" s="658">
        <f t="shared" si="6"/>
        <v>0</v>
      </c>
      <c r="D123" s="659">
        <v>0</v>
      </c>
      <c r="E123" s="659"/>
      <c r="F123" s="659"/>
      <c r="G123" s="659"/>
      <c r="H123" s="659"/>
    </row>
    <row r="124" spans="1:8">
      <c r="A124" s="642">
        <f t="shared" si="4"/>
        <v>3.0099999999999785</v>
      </c>
      <c r="B124" s="643" t="s">
        <v>946</v>
      </c>
      <c r="C124" s="643">
        <f t="shared" si="6"/>
        <v>549076.68000000005</v>
      </c>
      <c r="D124" s="644">
        <v>-549076.68000000005</v>
      </c>
      <c r="E124" s="644"/>
      <c r="F124" s="644"/>
      <c r="G124" s="644"/>
      <c r="H124" s="644"/>
    </row>
    <row r="125" spans="1:8">
      <c r="A125" s="642">
        <f t="shared" si="4"/>
        <v>3.0199999999999783</v>
      </c>
      <c r="B125" s="643" t="s">
        <v>947</v>
      </c>
      <c r="C125" s="643">
        <f t="shared" si="6"/>
        <v>20501.22</v>
      </c>
      <c r="D125" s="644">
        <v>-20501.22</v>
      </c>
      <c r="E125" s="644"/>
      <c r="F125" s="644"/>
      <c r="G125" s="644"/>
      <c r="H125" s="644"/>
    </row>
    <row r="126" spans="1:8">
      <c r="A126" s="642">
        <f t="shared" si="4"/>
        <v>3.029999999999978</v>
      </c>
      <c r="B126" s="643" t="s">
        <v>948</v>
      </c>
      <c r="C126" s="643">
        <f t="shared" si="6"/>
        <v>-241986.67</v>
      </c>
      <c r="D126" s="644">
        <v>241986.67</v>
      </c>
      <c r="E126" s="644"/>
      <c r="F126" s="644"/>
      <c r="G126" s="644"/>
      <c r="H126" s="644"/>
    </row>
    <row r="127" spans="1:8">
      <c r="A127" s="642"/>
      <c r="B127" s="643"/>
      <c r="C127" s="644"/>
      <c r="D127" s="644"/>
      <c r="E127" s="644"/>
      <c r="F127" s="644"/>
      <c r="G127" s="644"/>
      <c r="H127" s="644"/>
    </row>
    <row r="128" spans="1:8">
      <c r="A128" s="496"/>
      <c r="B128" s="484"/>
      <c r="C128" s="484"/>
      <c r="D128" s="484"/>
      <c r="E128" s="484"/>
      <c r="F128" s="484"/>
      <c r="G128" s="484"/>
      <c r="H128" s="484"/>
    </row>
    <row r="129" spans="1:10" ht="13.5" thickBot="1">
      <c r="A129" s="482">
        <v>3</v>
      </c>
      <c r="B129" s="489" t="s">
        <v>949</v>
      </c>
      <c r="C129" s="560">
        <f>SUM(C24:C128)</f>
        <v>468207184.92999989</v>
      </c>
      <c r="D129" s="560">
        <f>SUM(D24:D128)</f>
        <v>-201442858.71000001</v>
      </c>
      <c r="E129" s="484"/>
      <c r="F129" s="560">
        <f>SUM(F24:F128)</f>
        <v>135426715.13</v>
      </c>
      <c r="G129" s="560">
        <f>SUM(G24:G128)</f>
        <v>56783204.459999993</v>
      </c>
      <c r="H129" s="560">
        <f>SUM(H24:H128)</f>
        <v>74554406.630000025</v>
      </c>
      <c r="I129" s="414">
        <f>SUM(F129:H129)</f>
        <v>266764326.22</v>
      </c>
      <c r="J129" s="672" t="s">
        <v>1092</v>
      </c>
    </row>
    <row r="130" spans="1:10" ht="13.5" thickTop="1">
      <c r="A130" s="635">
        <v>4</v>
      </c>
      <c r="B130" s="588" t="s">
        <v>1085</v>
      </c>
      <c r="C130" s="640">
        <f>C92+C91</f>
        <v>97433139.280000016</v>
      </c>
      <c r="D130" s="640">
        <f>D89+D90</f>
        <v>0</v>
      </c>
      <c r="E130" s="253"/>
      <c r="F130" s="640">
        <f>F92+F91</f>
        <v>97201928.99000001</v>
      </c>
      <c r="G130" s="640">
        <f>G92+G91</f>
        <v>7505.81</v>
      </c>
      <c r="H130" s="640">
        <f>H92+H91</f>
        <v>223704.48</v>
      </c>
    </row>
    <row r="132" spans="1:10">
      <c r="B132" s="668" t="s">
        <v>1087</v>
      </c>
      <c r="C132" s="669"/>
      <c r="D132" s="669"/>
      <c r="E132" s="669"/>
      <c r="F132" s="669">
        <f>F123+F122+F94+F90+F89+F88+F87+F85+F59+F57+F55+F53+F52+F48+F47+F46+F45+F44+F43+F42</f>
        <v>-4363007.8</v>
      </c>
      <c r="G132" s="669">
        <f>G123+G122+G94+G90+G89+G88+G87+G85+G59+G57+G55+G53+G52+G48+G47+G46+G45+G44+G43+G42</f>
        <v>-1411883.98</v>
      </c>
      <c r="H132" s="669">
        <f>H123+H122+H94+H90+H89+H88+H87+H85+H59+H57+H55+H53+H52+H48+H47+H46+H45+H44+H43+H42</f>
        <v>104010.27999999923</v>
      </c>
    </row>
    <row r="133" spans="1:10">
      <c r="B133" s="670" t="s">
        <v>1088</v>
      </c>
      <c r="C133" s="671"/>
      <c r="D133" s="671"/>
      <c r="E133" s="671"/>
      <c r="F133" s="671">
        <f>F83+F80+F79+F78+F72+F64+F51+F50+F41+F40+F35+F34</f>
        <v>-7599847.1699999999</v>
      </c>
      <c r="G133" s="671">
        <f>G83+G80+G79+G78+G72+G64+G51+G50+G41+G40+G35+G34</f>
        <v>1841.08</v>
      </c>
      <c r="H133" s="671">
        <f>H83+H80+H79+H78+H72+H64+H51+H50+H41+H40+H35+H34</f>
        <v>-27188.07</v>
      </c>
    </row>
    <row r="134" spans="1:10">
      <c r="B134" s="660" t="s">
        <v>282</v>
      </c>
      <c r="C134" s="661"/>
      <c r="D134" s="661"/>
      <c r="E134" s="661"/>
      <c r="F134" s="662">
        <f>F91+F92</f>
        <v>97201928.99000001</v>
      </c>
      <c r="G134" s="662">
        <f>G91+G92</f>
        <v>7505.81</v>
      </c>
      <c r="H134" s="662">
        <f>H91+H92</f>
        <v>223704.48</v>
      </c>
    </row>
    <row r="135" spans="1:10" ht="13.5" thickBot="1">
      <c r="B135" s="588" t="s">
        <v>1089</v>
      </c>
      <c r="C135" s="663"/>
      <c r="D135" s="663"/>
      <c r="E135" s="663"/>
      <c r="F135" s="663">
        <f>F24+F26+F27+F28+F29+F30+F31+F32+F36+F37+F38+F39+F49+F54+F56+F58+F60+F61+F62+F63+F65+F66+F67+F68+F69+F70+F71+F73+F74+F75+F76+F77+F81+F82+F84+F86+F93+F95+F96+F97+F98+F100+F99+F101+F102+F103+F104+F106+F105+F107+F109+F108+F110+F111+F112+F113+F114+F25+F33+F115</f>
        <v>50187641.110000014</v>
      </c>
      <c r="G135" s="663">
        <f>G24+G26+G27+G28+G29+G30+G31+G32+G36+G37+G38+G39+G49+G54+G56+G58+G60+G61+G62+G63+G65+G66+G67+G68+G69+G70+G71+G73+G74+G75+G76+G77+G81+G82+G84+G86+G93+G95+G96+G97+G98+G100+G99+G101+G102+G103+G104+G106+G105+G107+G109+G108+G110+G111+G112+G113+G114+G25+G33+G115</f>
        <v>58185741.54999999</v>
      </c>
      <c r="H135" s="663">
        <f>H24+H26+H27+H28+H29+H30+H31+H32+H36+H37+H38+H39+H49+H54+H56+H58+H60+H61+H62+H63+H65+H66+H67+H68+H69+H70+H71+H73+H74+H75+H76+H77+H81+H82+H84+H86+H93+H95+H96+H97+H98+H100+H99+H101+H102+H103+H104+H106+H105+H107+H109+H108+H110+H111+H112+H113+H114+H25+H33+H115</f>
        <v>74253879.940000027</v>
      </c>
    </row>
    <row r="136" spans="1:10" ht="13.5" thickBot="1">
      <c r="B136" s="664" t="s">
        <v>1090</v>
      </c>
      <c r="C136" s="665"/>
      <c r="D136" s="665"/>
      <c r="E136" s="665"/>
      <c r="F136" s="665">
        <f>F134+G129+H129</f>
        <v>228539540.08000001</v>
      </c>
      <c r="G136" s="665"/>
      <c r="H136" s="666"/>
    </row>
  </sheetData>
  <pageMargins left="0.5" right="0.5" top="0.5" bottom="0.5" header="0.5" footer="0.25"/>
  <pageSetup scale="47" fitToHeight="0" orientation="landscape" r:id="rId1"/>
  <headerFooter alignWithMargins="0">
    <oddFooter>&amp;C&amp;A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/>
  <dimension ref="A1:G63"/>
  <sheetViews>
    <sheetView showGridLines="0" topLeftCell="A30" zoomScaleNormal="100" workbookViewId="0">
      <selection activeCell="C29" sqref="C29"/>
    </sheetView>
  </sheetViews>
  <sheetFormatPr defaultColWidth="14.42578125" defaultRowHeight="12.75"/>
  <cols>
    <col min="1" max="1" width="30.5703125" style="96" customWidth="1"/>
    <col min="2" max="2" width="14.42578125" style="96"/>
    <col min="3" max="3" width="20.5703125" style="96" customWidth="1"/>
    <col min="4" max="4" width="15.42578125" style="96" customWidth="1"/>
    <col min="5" max="5" width="14.85546875" style="96" bestFit="1" customWidth="1"/>
    <col min="6" max="16384" width="14.42578125" style="96"/>
  </cols>
  <sheetData>
    <row r="1" spans="1:5">
      <c r="A1" s="544"/>
      <c r="B1" s="544"/>
      <c r="C1" s="544"/>
      <c r="D1" s="545" t="s">
        <v>102</v>
      </c>
      <c r="E1" s="544"/>
    </row>
    <row r="2" spans="1:5">
      <c r="A2" s="754" t="s">
        <v>587</v>
      </c>
      <c r="B2" s="754"/>
      <c r="C2" s="754"/>
      <c r="D2" s="754"/>
      <c r="E2" s="544"/>
    </row>
    <row r="3" spans="1:5">
      <c r="A3" s="758" t="s">
        <v>567</v>
      </c>
      <c r="B3" s="758"/>
      <c r="C3" s="758"/>
      <c r="D3" s="758"/>
      <c r="E3" s="544"/>
    </row>
    <row r="4" spans="1:5">
      <c r="A4" s="754" t="s">
        <v>39</v>
      </c>
      <c r="B4" s="754"/>
      <c r="C4" s="754"/>
      <c r="D4" s="754"/>
      <c r="E4" s="544"/>
    </row>
    <row r="5" spans="1:5">
      <c r="A5" s="755" t="s">
        <v>1176</v>
      </c>
      <c r="B5" s="755"/>
      <c r="C5" s="755"/>
      <c r="D5" s="755"/>
      <c r="E5" s="544"/>
    </row>
    <row r="6" spans="1:5">
      <c r="A6" s="544"/>
      <c r="B6" s="544"/>
      <c r="C6" s="544"/>
      <c r="D6" s="544"/>
      <c r="E6" s="544"/>
    </row>
    <row r="7" spans="1:5">
      <c r="A7" s="546"/>
      <c r="B7" s="544"/>
      <c r="C7" s="544"/>
      <c r="D7" s="547"/>
      <c r="E7" s="544"/>
    </row>
    <row r="8" spans="1:5">
      <c r="A8" s="548" t="s">
        <v>125</v>
      </c>
      <c r="B8" s="544"/>
      <c r="C8" s="544"/>
      <c r="D8" s="544"/>
      <c r="E8" s="544"/>
    </row>
    <row r="9" spans="1:5">
      <c r="A9" s="548"/>
      <c r="B9" s="544"/>
      <c r="C9" s="544"/>
      <c r="D9" s="544"/>
      <c r="E9" s="544"/>
    </row>
    <row r="10" spans="1:5">
      <c r="A10" s="546" t="s">
        <v>822</v>
      </c>
      <c r="B10" s="544"/>
      <c r="C10" s="544"/>
      <c r="D10" s="549">
        <f>1-(((1-C21)*(1-C20))/(1-C21*C20*C22))</f>
        <v>0.23448999999999998</v>
      </c>
      <c r="E10" s="544"/>
    </row>
    <row r="11" spans="1:5">
      <c r="A11" s="546"/>
      <c r="B11" s="544"/>
      <c r="C11" s="544"/>
      <c r="D11" s="549"/>
      <c r="E11" s="544"/>
    </row>
    <row r="12" spans="1:5">
      <c r="A12" s="546" t="s">
        <v>294</v>
      </c>
      <c r="B12" s="544"/>
      <c r="C12" s="544"/>
      <c r="D12" s="549">
        <f>(D10/(1-D10))*(1-C23/C24)</f>
        <v>0.20530777157307481</v>
      </c>
      <c r="E12" s="544"/>
    </row>
    <row r="13" spans="1:5">
      <c r="A13" s="546" t="s">
        <v>821</v>
      </c>
      <c r="B13" s="544"/>
      <c r="C13" s="544"/>
      <c r="D13" s="544"/>
      <c r="E13" s="544"/>
    </row>
    <row r="14" spans="1:5">
      <c r="A14" s="546" t="s">
        <v>834</v>
      </c>
      <c r="B14" s="544"/>
      <c r="C14" s="544"/>
      <c r="D14" s="544"/>
      <c r="E14" s="544"/>
    </row>
    <row r="15" spans="1:5">
      <c r="A15" s="546"/>
      <c r="B15" s="544"/>
      <c r="C15" s="544"/>
      <c r="D15" s="544"/>
      <c r="E15" s="544"/>
    </row>
    <row r="16" spans="1:5">
      <c r="A16" s="546" t="s">
        <v>295</v>
      </c>
      <c r="B16" s="544"/>
      <c r="C16" s="544"/>
      <c r="D16" s="547">
        <f>1/(1-D10)</f>
        <v>1.3063186633747437</v>
      </c>
      <c r="E16" s="544"/>
    </row>
    <row r="17" spans="1:7">
      <c r="A17" s="546"/>
      <c r="B17" s="544"/>
      <c r="C17" s="544"/>
      <c r="D17" s="547"/>
      <c r="E17" s="544"/>
    </row>
    <row r="18" spans="1:7">
      <c r="A18" s="546" t="s">
        <v>249</v>
      </c>
      <c r="B18" s="544"/>
      <c r="C18" s="544" t="s">
        <v>296</v>
      </c>
      <c r="D18" s="544">
        <v>0</v>
      </c>
      <c r="E18" s="544"/>
    </row>
    <row r="19" spans="1:7">
      <c r="A19" s="544"/>
      <c r="B19" s="544"/>
      <c r="C19" s="544"/>
      <c r="D19" s="544"/>
      <c r="E19" s="544"/>
    </row>
    <row r="20" spans="1:7">
      <c r="A20" s="545"/>
      <c r="B20" s="545" t="s">
        <v>250</v>
      </c>
      <c r="C20" s="550">
        <v>0.21</v>
      </c>
      <c r="D20" s="544"/>
      <c r="E20" s="544"/>
    </row>
    <row r="21" spans="1:7">
      <c r="A21" s="545"/>
      <c r="B21" s="545" t="s">
        <v>251</v>
      </c>
      <c r="C21" s="590">
        <f>+D58</f>
        <v>3.0999999999999996E-2</v>
      </c>
      <c r="D21" s="552" t="s">
        <v>412</v>
      </c>
      <c r="E21" s="544"/>
      <c r="G21" s="97"/>
    </row>
    <row r="22" spans="1:7" ht="25.5" customHeight="1">
      <c r="A22" s="545"/>
      <c r="B22" s="553" t="s">
        <v>823</v>
      </c>
      <c r="C22" s="554">
        <v>0</v>
      </c>
      <c r="D22" s="756" t="s">
        <v>842</v>
      </c>
      <c r="E22" s="757"/>
      <c r="G22" s="97"/>
    </row>
    <row r="23" spans="1:7">
      <c r="A23" s="544"/>
      <c r="B23" s="545" t="s">
        <v>297</v>
      </c>
      <c r="C23" s="673">
        <v>2.449541777191646E-2</v>
      </c>
      <c r="D23" s="544"/>
      <c r="E23" s="544"/>
    </row>
    <row r="24" spans="1:7">
      <c r="A24" s="544"/>
      <c r="B24" s="545" t="s">
        <v>298</v>
      </c>
      <c r="C24" s="673">
        <v>7.4283114393565081E-2</v>
      </c>
      <c r="D24" s="544"/>
      <c r="E24" s="544"/>
    </row>
    <row r="25" spans="1:7">
      <c r="A25" s="544"/>
      <c r="B25" s="544"/>
      <c r="C25" s="544"/>
      <c r="D25" s="544"/>
      <c r="E25" s="544"/>
    </row>
    <row r="26" spans="1:7">
      <c r="A26" s="544"/>
      <c r="B26" s="544"/>
      <c r="C26" s="544"/>
      <c r="D26" s="544"/>
      <c r="E26" s="544"/>
    </row>
    <row r="27" spans="1:7">
      <c r="A27" s="555" t="s">
        <v>1172</v>
      </c>
      <c r="B27" s="544"/>
      <c r="C27" s="544"/>
      <c r="D27" s="544"/>
      <c r="E27" s="544"/>
    </row>
    <row r="28" spans="1:7">
      <c r="A28" s="544"/>
      <c r="B28" s="544"/>
      <c r="C28" s="544"/>
      <c r="D28" s="544"/>
      <c r="E28" s="544"/>
    </row>
    <row r="29" spans="1:7">
      <c r="A29" s="544" t="s">
        <v>35</v>
      </c>
      <c r="B29" s="544"/>
      <c r="C29" s="550">
        <v>6.5000000000000002E-2</v>
      </c>
      <c r="D29" s="544"/>
      <c r="E29" s="544"/>
    </row>
    <row r="30" spans="1:7">
      <c r="A30" s="544" t="s">
        <v>83</v>
      </c>
      <c r="B30" s="544"/>
      <c r="C30" s="556">
        <v>1.95E-2</v>
      </c>
      <c r="D30" s="544"/>
      <c r="E30" s="544"/>
    </row>
    <row r="31" spans="1:7">
      <c r="A31" s="544" t="s">
        <v>252</v>
      </c>
      <c r="B31" s="544"/>
      <c r="C31" s="557"/>
      <c r="D31" s="590">
        <f>ROUND(+C29*C30,4)</f>
        <v>1.2999999999999999E-3</v>
      </c>
      <c r="E31" s="544"/>
    </row>
    <row r="32" spans="1:7">
      <c r="A32" s="544"/>
      <c r="B32" s="544"/>
      <c r="C32" s="557"/>
      <c r="D32" s="544"/>
      <c r="E32" s="544"/>
    </row>
    <row r="33" spans="1:5">
      <c r="A33" s="544" t="s">
        <v>85</v>
      </c>
      <c r="B33" s="544"/>
      <c r="C33" s="550">
        <v>0.06</v>
      </c>
      <c r="D33" s="544"/>
      <c r="E33" s="544"/>
    </row>
    <row r="34" spans="1:5">
      <c r="A34" s="544" t="s">
        <v>83</v>
      </c>
      <c r="B34" s="544"/>
      <c r="C34" s="556">
        <v>1E-4</v>
      </c>
      <c r="D34" s="544"/>
      <c r="E34" s="544"/>
    </row>
    <row r="35" spans="1:5">
      <c r="A35" s="544" t="s">
        <v>252</v>
      </c>
      <c r="B35" s="544"/>
      <c r="C35" s="557"/>
      <c r="D35" s="590">
        <f>ROUND(+C33*C34,4)</f>
        <v>0</v>
      </c>
      <c r="E35" s="544"/>
    </row>
    <row r="36" spans="1:5">
      <c r="A36" s="544"/>
      <c r="B36" s="544"/>
      <c r="C36" s="557"/>
      <c r="D36" s="544"/>
      <c r="E36" s="544"/>
    </row>
    <row r="37" spans="1:5">
      <c r="A37" s="544" t="s">
        <v>36</v>
      </c>
      <c r="B37" s="544"/>
      <c r="C37" s="550">
        <v>0</v>
      </c>
      <c r="D37" s="551"/>
      <c r="E37" s="544"/>
    </row>
    <row r="38" spans="1:5">
      <c r="A38" s="544" t="s">
        <v>83</v>
      </c>
      <c r="B38" s="544"/>
      <c r="C38" s="556">
        <v>0.44169999999999998</v>
      </c>
      <c r="D38" s="551"/>
      <c r="E38" s="544"/>
    </row>
    <row r="39" spans="1:5">
      <c r="A39" s="544" t="s">
        <v>252</v>
      </c>
      <c r="B39" s="544"/>
      <c r="C39" s="550"/>
      <c r="D39" s="590">
        <f>ROUND(+C37*C38,4)</f>
        <v>0</v>
      </c>
      <c r="E39" s="544"/>
    </row>
    <row r="40" spans="1:5">
      <c r="A40" s="544"/>
      <c r="B40" s="544"/>
      <c r="C40" s="557"/>
      <c r="D40" s="544"/>
      <c r="E40" s="544"/>
    </row>
    <row r="41" spans="1:5">
      <c r="A41" s="544" t="s">
        <v>37</v>
      </c>
      <c r="B41" s="544"/>
      <c r="C41" s="550">
        <v>6.5000000000000002E-2</v>
      </c>
      <c r="D41" s="544"/>
      <c r="E41" s="544"/>
    </row>
    <row r="42" spans="1:5">
      <c r="A42" s="544" t="s">
        <v>83</v>
      </c>
      <c r="B42" s="544"/>
      <c r="C42" s="556">
        <v>0.453513</v>
      </c>
      <c r="D42" s="544"/>
      <c r="E42" s="544"/>
    </row>
    <row r="43" spans="1:5">
      <c r="A43" s="544" t="s">
        <v>252</v>
      </c>
      <c r="B43" s="544"/>
      <c r="C43" s="557"/>
      <c r="D43" s="590">
        <f>ROUND(+C41*C42,4)</f>
        <v>2.9499999999999998E-2</v>
      </c>
      <c r="E43" s="544"/>
    </row>
    <row r="44" spans="1:5">
      <c r="A44" s="544"/>
      <c r="B44" s="544"/>
      <c r="C44" s="557"/>
      <c r="D44" s="544"/>
      <c r="E44" s="544"/>
    </row>
    <row r="45" spans="1:5">
      <c r="A45" s="544" t="s">
        <v>84</v>
      </c>
      <c r="B45" s="544"/>
      <c r="C45" s="550">
        <v>9.5000000000000001E-2</v>
      </c>
      <c r="D45" s="544"/>
      <c r="E45" s="544"/>
    </row>
    <row r="46" spans="1:5">
      <c r="A46" s="544" t="s">
        <v>83</v>
      </c>
      <c r="B46" s="544"/>
      <c r="C46" s="556">
        <v>2E-3</v>
      </c>
      <c r="D46" s="544"/>
      <c r="E46" s="544"/>
    </row>
    <row r="47" spans="1:5">
      <c r="A47" s="544" t="s">
        <v>252</v>
      </c>
      <c r="B47" s="544"/>
      <c r="C47" s="544"/>
      <c r="D47" s="591">
        <f>ROUND(+C45*C46,4)</f>
        <v>2.0000000000000001E-4</v>
      </c>
      <c r="E47" s="544"/>
    </row>
    <row r="48" spans="1:5">
      <c r="A48" s="544"/>
      <c r="B48" s="544"/>
      <c r="C48" s="544"/>
      <c r="D48" s="697"/>
      <c r="E48" s="544"/>
    </row>
    <row r="49" spans="1:5">
      <c r="A49" s="544" t="s">
        <v>1161</v>
      </c>
      <c r="B49" s="544"/>
      <c r="C49" s="550">
        <v>0.05</v>
      </c>
      <c r="D49" s="544"/>
      <c r="E49" s="544"/>
    </row>
    <row r="50" spans="1:5">
      <c r="A50" s="544" t="s">
        <v>83</v>
      </c>
      <c r="B50" s="544"/>
      <c r="C50" s="556">
        <v>5.9999999999999995E-4</v>
      </c>
      <c r="D50" s="544"/>
      <c r="E50" s="544"/>
    </row>
    <row r="51" spans="1:5">
      <c r="A51" s="698" t="s">
        <v>1160</v>
      </c>
      <c r="B51" s="544"/>
      <c r="C51" s="544"/>
      <c r="D51" s="591">
        <f>ROUND(+C49*C50,4)</f>
        <v>0</v>
      </c>
      <c r="E51" s="544"/>
    </row>
    <row r="52" spans="1:5">
      <c r="A52" s="544"/>
      <c r="B52" s="544"/>
      <c r="C52" s="544"/>
      <c r="D52" s="697"/>
      <c r="E52" s="544"/>
    </row>
    <row r="53" spans="1:5">
      <c r="A53" s="544" t="s">
        <v>1159</v>
      </c>
      <c r="B53" s="544"/>
      <c r="C53" s="550">
        <v>2.5000000000000001E-2</v>
      </c>
      <c r="D53" s="544"/>
      <c r="E53" s="544"/>
    </row>
    <row r="54" spans="1:5">
      <c r="A54" s="544" t="s">
        <v>83</v>
      </c>
      <c r="B54" s="544"/>
      <c r="C54" s="556">
        <v>1E-4</v>
      </c>
      <c r="D54" s="544"/>
      <c r="E54" s="544"/>
    </row>
    <row r="55" spans="1:5">
      <c r="A55" s="698" t="s">
        <v>1160</v>
      </c>
      <c r="B55" s="544"/>
      <c r="C55" s="544"/>
      <c r="D55" s="591">
        <f>ROUND(+C53*C54,4)</f>
        <v>0</v>
      </c>
      <c r="E55" s="544"/>
    </row>
    <row r="56" spans="1:5">
      <c r="A56" s="544"/>
      <c r="B56" s="544"/>
      <c r="C56" s="544"/>
      <c r="D56" s="697"/>
      <c r="E56" s="544"/>
    </row>
    <row r="57" spans="1:5">
      <c r="A57" s="544"/>
      <c r="B57" s="544"/>
      <c r="C57" s="544"/>
      <c r="D57" s="544"/>
      <c r="E57" s="544"/>
    </row>
    <row r="58" spans="1:5" ht="13.5" thickBot="1">
      <c r="A58" s="544" t="s">
        <v>253</v>
      </c>
      <c r="B58" s="544"/>
      <c r="C58" s="544"/>
      <c r="D58" s="592">
        <f>SUM(D31,D35,D39,D43,D47,D55,D51)</f>
        <v>3.0999999999999996E-2</v>
      </c>
      <c r="E58" s="544"/>
    </row>
    <row r="59" spans="1:5" ht="13.5" thickTop="1">
      <c r="A59" s="544"/>
      <c r="B59" s="544"/>
      <c r="C59" s="544"/>
      <c r="D59" s="544"/>
      <c r="E59" s="544"/>
    </row>
    <row r="60" spans="1:5">
      <c r="A60" s="552" t="s">
        <v>843</v>
      </c>
      <c r="B60" s="544"/>
      <c r="C60" s="544"/>
      <c r="D60" s="544"/>
      <c r="E60" s="544"/>
    </row>
    <row r="61" spans="1:5">
      <c r="A61" s="544" t="s">
        <v>845</v>
      </c>
      <c r="B61" s="544"/>
      <c r="C61" s="544"/>
      <c r="D61" s="544"/>
      <c r="E61" s="544"/>
    </row>
    <row r="62" spans="1:5">
      <c r="A62" s="544" t="s">
        <v>844</v>
      </c>
      <c r="B62" s="544"/>
      <c r="C62" s="544"/>
      <c r="D62" s="544"/>
      <c r="E62" s="544"/>
    </row>
    <row r="63" spans="1:5">
      <c r="A63" s="544" t="s">
        <v>102</v>
      </c>
      <c r="B63" s="544"/>
      <c r="C63" s="544"/>
      <c r="D63" s="544"/>
      <c r="E63" s="544"/>
    </row>
  </sheetData>
  <mergeCells count="5">
    <mergeCell ref="A2:D2"/>
    <mergeCell ref="A4:D4"/>
    <mergeCell ref="A5:D5"/>
    <mergeCell ref="D22:E22"/>
    <mergeCell ref="A3:D3"/>
  </mergeCells>
  <phoneticPr fontId="2" type="noConversion"/>
  <pageMargins left="0.5" right="0.5" top="0.5" bottom="0.5" header="0.5" footer="0.25"/>
  <pageSetup scale="86" orientation="portrait" r:id="rId1"/>
  <headerFooter alignWithMargins="0">
    <oddFooter>&amp;C&amp;A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147"/>
  <sheetViews>
    <sheetView showGridLines="0" topLeftCell="A120" zoomScale="70" zoomScaleNormal="70" zoomScaleSheetLayoutView="85" workbookViewId="0">
      <selection activeCell="E76" sqref="E76"/>
    </sheetView>
  </sheetViews>
  <sheetFormatPr defaultColWidth="9.140625" defaultRowHeight="12.75"/>
  <cols>
    <col min="1" max="1" width="47.42578125" style="30" customWidth="1"/>
    <col min="2" max="2" width="2.85546875" style="30" customWidth="1"/>
    <col min="3" max="3" width="35.5703125" style="30" customWidth="1"/>
    <col min="4" max="4" width="13" style="30" customWidth="1"/>
    <col min="5" max="5" width="19.5703125" style="30" bestFit="1" customWidth="1"/>
    <col min="6" max="6" width="33.5703125" style="30" customWidth="1"/>
    <col min="7" max="7" width="14.85546875" style="30" bestFit="1" customWidth="1"/>
    <col min="8" max="8" width="14.5703125" style="30" bestFit="1" customWidth="1"/>
    <col min="9" max="10" width="12" style="30" bestFit="1" customWidth="1"/>
    <col min="11" max="16384" width="9.140625" style="30"/>
  </cols>
  <sheetData>
    <row r="1" spans="1:7" ht="18">
      <c r="B1" s="88"/>
      <c r="D1" s="296" t="s">
        <v>102</v>
      </c>
      <c r="G1" s="383" t="s">
        <v>835</v>
      </c>
    </row>
    <row r="2" spans="1:7" ht="18">
      <c r="A2" s="763" t="s">
        <v>587</v>
      </c>
      <c r="B2" s="763"/>
      <c r="C2" s="763"/>
      <c r="D2" s="760"/>
      <c r="E2" s="760"/>
      <c r="F2" s="760"/>
      <c r="G2" s="760"/>
    </row>
    <row r="3" spans="1:7" ht="18">
      <c r="A3" s="764" t="s">
        <v>567</v>
      </c>
      <c r="B3" s="764"/>
      <c r="C3" s="764"/>
      <c r="D3" s="760"/>
      <c r="E3" s="760"/>
      <c r="F3" s="760"/>
      <c r="G3" s="760"/>
    </row>
    <row r="4" spans="1:7" ht="18">
      <c r="A4" s="759" t="s">
        <v>40</v>
      </c>
      <c r="B4" s="759"/>
      <c r="C4" s="759"/>
      <c r="D4" s="760"/>
      <c r="E4" s="760"/>
      <c r="F4" s="760"/>
      <c r="G4" s="760"/>
    </row>
    <row r="5" spans="1:7" ht="18">
      <c r="A5" s="761" t="s">
        <v>1176</v>
      </c>
      <c r="B5" s="761"/>
      <c r="C5" s="762"/>
      <c r="D5" s="760"/>
      <c r="E5" s="760"/>
      <c r="F5" s="760"/>
      <c r="G5" s="760"/>
    </row>
    <row r="6" spans="1:7">
      <c r="A6" s="88" t="s">
        <v>102</v>
      </c>
    </row>
    <row r="8" spans="1:7">
      <c r="C8" s="29"/>
    </row>
    <row r="9" spans="1:7">
      <c r="A9" s="88" t="s">
        <v>354</v>
      </c>
      <c r="B9" s="88"/>
      <c r="C9" s="29">
        <f>+E62+E75+E78+E79+E85+E86+E87</f>
        <v>8420553</v>
      </c>
      <c r="D9" s="88" t="s">
        <v>293</v>
      </c>
    </row>
    <row r="10" spans="1:7">
      <c r="C10" s="29"/>
    </row>
    <row r="11" spans="1:7">
      <c r="A11" s="88" t="s">
        <v>355</v>
      </c>
      <c r="B11" s="88"/>
      <c r="C11" s="29">
        <f>E34+E35+E36+E37+E43+E44+E45+E46+E53+E54+E56+E58+E47+E59+E38+E39+E48+E49</f>
        <v>78548733</v>
      </c>
      <c r="D11" s="88" t="s">
        <v>356</v>
      </c>
    </row>
    <row r="12" spans="1:7">
      <c r="A12" s="88" t="s">
        <v>471</v>
      </c>
      <c r="B12" s="88"/>
      <c r="C12" s="29">
        <f>E93+E95+E141+E96</f>
        <v>53845832</v>
      </c>
      <c r="D12" s="88" t="s">
        <v>94</v>
      </c>
    </row>
    <row r="13" spans="1:7">
      <c r="A13" s="88" t="s">
        <v>472</v>
      </c>
      <c r="B13" s="88"/>
      <c r="C13" s="29">
        <v>0</v>
      </c>
      <c r="D13" s="88" t="s">
        <v>100</v>
      </c>
    </row>
    <row r="14" spans="1:7">
      <c r="A14" s="88" t="s">
        <v>98</v>
      </c>
      <c r="B14" s="88"/>
      <c r="C14" s="29">
        <f>E98+E99+E101+E102+E103+E104+E105+E106+E107+E108+E112+E113+E114+E115+E116+E117+E118+E119+E120+E121+E122+E124+E127+E134+E135+E136+E137+E138</f>
        <v>15702209</v>
      </c>
      <c r="D14" s="88" t="s">
        <v>98</v>
      </c>
    </row>
    <row r="15" spans="1:7">
      <c r="A15" s="88" t="s">
        <v>357</v>
      </c>
      <c r="B15" s="88"/>
      <c r="C15" s="89">
        <f>+E27+E28+E29+E30+E144</f>
        <v>23984</v>
      </c>
      <c r="D15" s="88" t="s">
        <v>358</v>
      </c>
    </row>
    <row r="16" spans="1:7">
      <c r="C16" s="29"/>
    </row>
    <row r="17" spans="1:7" ht="13.5" thickBot="1">
      <c r="C17" s="90">
        <f>SUM(C9,C11:C15)</f>
        <v>156541311</v>
      </c>
    </row>
    <row r="18" spans="1:7" ht="13.5" thickTop="1">
      <c r="C18" s="91"/>
    </row>
    <row r="20" spans="1:7" ht="18">
      <c r="A20" s="314"/>
      <c r="B20" s="315"/>
      <c r="C20" s="316" t="s">
        <v>598</v>
      </c>
      <c r="D20" s="317"/>
      <c r="E20" s="318" t="s">
        <v>816</v>
      </c>
      <c r="F20" s="318" t="s">
        <v>599</v>
      </c>
      <c r="G20" s="318" t="s">
        <v>600</v>
      </c>
    </row>
    <row r="21" spans="1:7" ht="18">
      <c r="A21" s="319"/>
      <c r="B21" s="320"/>
      <c r="C21" s="320"/>
      <c r="D21" s="320"/>
      <c r="E21" s="255"/>
      <c r="F21" s="321"/>
    </row>
    <row r="22" spans="1:7" ht="18">
      <c r="A22" s="319" t="s">
        <v>118</v>
      </c>
      <c r="B22" s="320"/>
      <c r="C22" s="320"/>
      <c r="D22" s="320"/>
      <c r="E22" s="322" t="s">
        <v>601</v>
      </c>
      <c r="F22" s="323"/>
    </row>
    <row r="23" spans="1:7" ht="18">
      <c r="A23" s="324" t="s">
        <v>602</v>
      </c>
      <c r="B23" s="325"/>
      <c r="C23" s="324" t="s">
        <v>629</v>
      </c>
      <c r="D23" s="325"/>
      <c r="E23" s="324" t="s">
        <v>603</v>
      </c>
      <c r="F23" s="326" t="s">
        <v>604</v>
      </c>
      <c r="G23" s="326" t="s">
        <v>359</v>
      </c>
    </row>
    <row r="24" spans="1:7" ht="18">
      <c r="A24" s="327"/>
      <c r="B24" s="315"/>
      <c r="C24" s="328"/>
      <c r="D24" s="328"/>
      <c r="E24" s="322"/>
      <c r="F24" s="329"/>
    </row>
    <row r="25" spans="1:7" ht="19.5">
      <c r="A25" s="314">
        <v>1</v>
      </c>
      <c r="B25" s="315"/>
      <c r="C25" s="330" t="s">
        <v>86</v>
      </c>
      <c r="D25" s="315"/>
      <c r="E25" s="332"/>
      <c r="F25" s="262"/>
    </row>
    <row r="26" spans="1:7" ht="19.5">
      <c r="A26" s="314">
        <f>+A25+1</f>
        <v>2</v>
      </c>
      <c r="B26" s="315"/>
      <c r="C26" s="331" t="s">
        <v>605</v>
      </c>
      <c r="D26" s="315"/>
      <c r="E26" s="333"/>
      <c r="F26" s="334"/>
    </row>
    <row r="27" spans="1:7" ht="19.5">
      <c r="A27" s="314"/>
      <c r="B27" s="315"/>
      <c r="C27" s="331"/>
      <c r="D27" s="315"/>
      <c r="E27" s="518">
        <v>11666</v>
      </c>
      <c r="F27" s="337" t="s">
        <v>1206</v>
      </c>
      <c r="G27" s="352" t="s">
        <v>616</v>
      </c>
    </row>
    <row r="28" spans="1:7" ht="19.5">
      <c r="A28" s="314"/>
      <c r="B28" s="315"/>
      <c r="C28" s="331"/>
      <c r="D28" s="315"/>
      <c r="E28" s="518">
        <v>12318</v>
      </c>
      <c r="F28" s="337" t="s">
        <v>1207</v>
      </c>
      <c r="G28" s="352" t="s">
        <v>616</v>
      </c>
    </row>
    <row r="29" spans="1:7" ht="19.5">
      <c r="A29" s="314"/>
      <c r="B29" s="315"/>
      <c r="C29" s="331"/>
      <c r="D29" s="315"/>
      <c r="E29" s="518">
        <v>0</v>
      </c>
      <c r="F29" s="337">
        <v>0</v>
      </c>
      <c r="G29" s="352"/>
    </row>
    <row r="30" spans="1:7" ht="19.5">
      <c r="A30" s="314"/>
      <c r="B30" s="315"/>
      <c r="C30" s="331"/>
      <c r="D30" s="315"/>
      <c r="E30" s="518">
        <v>0</v>
      </c>
      <c r="F30" s="337">
        <v>0</v>
      </c>
      <c r="G30" s="352"/>
    </row>
    <row r="31" spans="1:7" ht="19.5">
      <c r="A31" s="314"/>
      <c r="B31" s="315"/>
      <c r="C31" s="331"/>
      <c r="D31" s="315"/>
      <c r="G31" s="352"/>
    </row>
    <row r="32" spans="1:7" ht="19.5">
      <c r="A32" s="314">
        <f>+A26+1</f>
        <v>3</v>
      </c>
      <c r="B32" s="315"/>
      <c r="C32" s="330" t="s">
        <v>87</v>
      </c>
      <c r="D32" s="315"/>
      <c r="E32" s="335"/>
      <c r="F32" s="333"/>
      <c r="G32" s="92"/>
    </row>
    <row r="33" spans="1:7" ht="19.5">
      <c r="A33" s="314">
        <f>+A32+1</f>
        <v>4</v>
      </c>
      <c r="B33" s="315"/>
      <c r="C33" s="332" t="s">
        <v>606</v>
      </c>
      <c r="D33" s="332"/>
      <c r="E33" s="335"/>
      <c r="F33" s="333"/>
      <c r="G33" s="92"/>
    </row>
    <row r="34" spans="1:7" ht="19.5">
      <c r="A34" s="314"/>
      <c r="B34" s="315"/>
      <c r="C34" s="332"/>
      <c r="D34" s="332"/>
      <c r="E34" s="518">
        <v>11</v>
      </c>
      <c r="F34" s="337" t="s">
        <v>1208</v>
      </c>
      <c r="G34" s="352" t="s">
        <v>356</v>
      </c>
    </row>
    <row r="35" spans="1:7" ht="19.5">
      <c r="A35" s="314"/>
      <c r="B35" s="315"/>
      <c r="C35" s="332"/>
      <c r="D35" s="332"/>
      <c r="E35" s="518">
        <v>10</v>
      </c>
      <c r="F35" s="337" t="s">
        <v>1209</v>
      </c>
      <c r="G35" s="352" t="s">
        <v>356</v>
      </c>
    </row>
    <row r="36" spans="1:7" ht="19.5">
      <c r="A36" s="314"/>
      <c r="B36" s="315"/>
      <c r="C36" s="332"/>
      <c r="D36" s="332"/>
      <c r="E36" s="518">
        <v>25712991</v>
      </c>
      <c r="F36" s="337" t="s">
        <v>1210</v>
      </c>
      <c r="G36" s="352" t="s">
        <v>356</v>
      </c>
    </row>
    <row r="37" spans="1:7" ht="19.5">
      <c r="A37" s="314"/>
      <c r="B37" s="315"/>
      <c r="C37" s="332"/>
      <c r="D37" s="332"/>
      <c r="E37" s="518">
        <v>14</v>
      </c>
      <c r="F37" s="337" t="s">
        <v>1211</v>
      </c>
      <c r="G37" s="352" t="s">
        <v>356</v>
      </c>
    </row>
    <row r="38" spans="1:7" ht="19.5">
      <c r="A38" s="314"/>
      <c r="B38" s="315"/>
      <c r="C38" s="332"/>
      <c r="D38" s="332"/>
      <c r="E38" s="518">
        <v>125306</v>
      </c>
      <c r="F38" s="337" t="s">
        <v>1212</v>
      </c>
      <c r="G38" s="352" t="s">
        <v>356</v>
      </c>
    </row>
    <row r="39" spans="1:7" ht="19.5">
      <c r="A39" s="314"/>
      <c r="B39" s="315"/>
      <c r="C39" s="332"/>
      <c r="D39" s="332"/>
      <c r="E39" s="518">
        <v>23973108</v>
      </c>
      <c r="F39" s="337" t="s">
        <v>1213</v>
      </c>
      <c r="G39" s="352" t="s">
        <v>356</v>
      </c>
    </row>
    <row r="40" spans="1:7" ht="19.5">
      <c r="A40" s="314"/>
      <c r="B40" s="315"/>
      <c r="C40" s="332"/>
      <c r="D40" s="332"/>
      <c r="E40" s="518">
        <v>244964</v>
      </c>
      <c r="F40" s="337" t="s">
        <v>1214</v>
      </c>
      <c r="G40" s="352" t="s">
        <v>356</v>
      </c>
    </row>
    <row r="41" spans="1:7" ht="19.5">
      <c r="A41" s="314"/>
      <c r="B41" s="315"/>
      <c r="C41" s="332"/>
      <c r="D41" s="332"/>
      <c r="E41" s="518">
        <v>0</v>
      </c>
      <c r="F41" s="337">
        <v>0</v>
      </c>
      <c r="G41" s="352" t="s">
        <v>102</v>
      </c>
    </row>
    <row r="42" spans="1:7" ht="19.5">
      <c r="A42" s="314">
        <f>+A33+1</f>
        <v>5</v>
      </c>
      <c r="B42" s="315"/>
      <c r="C42" s="332" t="s">
        <v>607</v>
      </c>
      <c r="D42" s="332"/>
      <c r="E42" s="338"/>
      <c r="F42" s="333"/>
      <c r="G42" s="352" t="s">
        <v>102</v>
      </c>
    </row>
    <row r="43" spans="1:7" ht="19.5">
      <c r="A43" s="314"/>
      <c r="B43" s="315"/>
      <c r="C43" s="332"/>
      <c r="D43" s="332"/>
      <c r="E43" s="518">
        <v>1911</v>
      </c>
      <c r="F43" s="337" t="s">
        <v>1215</v>
      </c>
      <c r="G43" s="352" t="s">
        <v>356</v>
      </c>
    </row>
    <row r="44" spans="1:7" ht="19.5">
      <c r="A44" s="314"/>
      <c r="B44" s="315"/>
      <c r="C44" s="332"/>
      <c r="D44" s="332"/>
      <c r="E44" s="518">
        <v>34348</v>
      </c>
      <c r="F44" s="337" t="s">
        <v>1216</v>
      </c>
      <c r="G44" s="352" t="s">
        <v>356</v>
      </c>
    </row>
    <row r="45" spans="1:7" ht="19.5">
      <c r="A45" s="314"/>
      <c r="B45" s="315"/>
      <c r="C45" s="332"/>
      <c r="D45" s="332"/>
      <c r="E45" s="518">
        <v>1917</v>
      </c>
      <c r="F45" s="337" t="s">
        <v>1217</v>
      </c>
      <c r="G45" s="352" t="s">
        <v>356</v>
      </c>
    </row>
    <row r="46" spans="1:7" ht="19.5">
      <c r="A46" s="314"/>
      <c r="B46" s="315"/>
      <c r="C46" s="332"/>
      <c r="D46" s="332"/>
      <c r="E46" s="518">
        <v>-22402</v>
      </c>
      <c r="F46" s="337" t="s">
        <v>1218</v>
      </c>
      <c r="G46" s="352" t="s">
        <v>356</v>
      </c>
    </row>
    <row r="47" spans="1:7" ht="19.5">
      <c r="A47" s="314"/>
      <c r="B47" s="315"/>
      <c r="C47" s="332"/>
      <c r="D47" s="332"/>
      <c r="E47" s="518">
        <v>220643</v>
      </c>
      <c r="F47" s="337" t="s">
        <v>1219</v>
      </c>
      <c r="G47" s="352" t="s">
        <v>356</v>
      </c>
    </row>
    <row r="48" spans="1:7" ht="19.5">
      <c r="A48" s="314"/>
      <c r="B48" s="315"/>
      <c r="C48" s="332"/>
      <c r="D48" s="332"/>
      <c r="E48" s="518">
        <v>553300</v>
      </c>
      <c r="F48" s="337" t="s">
        <v>1220</v>
      </c>
      <c r="G48" s="352" t="s">
        <v>356</v>
      </c>
    </row>
    <row r="49" spans="1:7" ht="19.5">
      <c r="A49" s="314"/>
      <c r="B49" s="315"/>
      <c r="C49" s="332"/>
      <c r="D49" s="332"/>
      <c r="E49" s="518">
        <v>26498043</v>
      </c>
      <c r="F49" s="337" t="s">
        <v>1221</v>
      </c>
      <c r="G49" s="352" t="s">
        <v>356</v>
      </c>
    </row>
    <row r="50" spans="1:7" ht="19.5">
      <c r="A50" s="314"/>
      <c r="B50" s="315"/>
      <c r="C50" s="332"/>
      <c r="D50" s="332"/>
      <c r="E50" s="518">
        <v>0</v>
      </c>
      <c r="F50" s="337" t="s">
        <v>1221</v>
      </c>
      <c r="G50" s="352"/>
    </row>
    <row r="51" spans="1:7" ht="19.5">
      <c r="A51" s="314"/>
      <c r="B51" s="315"/>
      <c r="C51" s="332"/>
      <c r="D51" s="332"/>
      <c r="E51" s="518">
        <v>0</v>
      </c>
      <c r="F51" s="337">
        <v>0</v>
      </c>
      <c r="G51" s="352" t="s">
        <v>102</v>
      </c>
    </row>
    <row r="52" spans="1:7" ht="19.5">
      <c r="A52" s="314">
        <f>+A42+1</f>
        <v>6</v>
      </c>
      <c r="B52" s="315"/>
      <c r="C52" s="332" t="s">
        <v>608</v>
      </c>
      <c r="D52" s="332"/>
      <c r="E52" s="333"/>
      <c r="F52" s="262"/>
      <c r="G52" s="352" t="s">
        <v>102</v>
      </c>
    </row>
    <row r="53" spans="1:7" ht="19.5">
      <c r="A53" s="314"/>
      <c r="B53" s="315"/>
      <c r="C53" s="332"/>
      <c r="D53" s="332"/>
      <c r="E53" s="518">
        <v>-83315</v>
      </c>
      <c r="F53" s="337" t="s">
        <v>1222</v>
      </c>
      <c r="G53" s="352" t="s">
        <v>356</v>
      </c>
    </row>
    <row r="54" spans="1:7" ht="19.5">
      <c r="A54" s="314"/>
      <c r="B54" s="315"/>
      <c r="C54" s="332"/>
      <c r="D54" s="332"/>
      <c r="E54" s="518">
        <v>1489668</v>
      </c>
      <c r="F54" s="337" t="s">
        <v>1223</v>
      </c>
      <c r="G54" s="352" t="s">
        <v>356</v>
      </c>
    </row>
    <row r="55" spans="1:7" ht="19.5">
      <c r="A55" s="314">
        <f>+A52+1</f>
        <v>7</v>
      </c>
      <c r="B55" s="315"/>
      <c r="C55" s="332" t="s">
        <v>609</v>
      </c>
      <c r="D55" s="339"/>
      <c r="E55" s="340"/>
      <c r="F55" s="262"/>
      <c r="G55" s="352" t="s">
        <v>102</v>
      </c>
    </row>
    <row r="56" spans="1:7" ht="19.5">
      <c r="A56" s="314"/>
      <c r="B56" s="315"/>
      <c r="C56" s="332"/>
      <c r="D56" s="339"/>
      <c r="E56" s="518">
        <v>43154</v>
      </c>
      <c r="F56" s="337" t="s">
        <v>1224</v>
      </c>
      <c r="G56" s="352" t="s">
        <v>356</v>
      </c>
    </row>
    <row r="57" spans="1:7" ht="19.5">
      <c r="A57" s="314"/>
      <c r="B57" s="315"/>
      <c r="C57" s="332"/>
      <c r="D57" s="339"/>
      <c r="E57" s="518">
        <v>5792154</v>
      </c>
      <c r="F57" s="337" t="s">
        <v>1225</v>
      </c>
      <c r="G57" s="352" t="s">
        <v>356</v>
      </c>
    </row>
    <row r="58" spans="1:7" ht="19.5">
      <c r="A58" s="314"/>
      <c r="B58" s="315"/>
      <c r="C58" s="332"/>
      <c r="D58" s="339"/>
      <c r="E58" s="518">
        <v>8</v>
      </c>
      <c r="F58" s="337" t="s">
        <v>1226</v>
      </c>
      <c r="G58" s="352" t="s">
        <v>356</v>
      </c>
    </row>
    <row r="59" spans="1:7" ht="19.5">
      <c r="A59" s="314"/>
      <c r="B59" s="315"/>
      <c r="C59" s="341"/>
      <c r="D59" s="315"/>
      <c r="E59" s="518">
        <v>18</v>
      </c>
      <c r="F59" s="337" t="s">
        <v>1227</v>
      </c>
      <c r="G59" s="352" t="s">
        <v>356</v>
      </c>
    </row>
    <row r="60" spans="1:7" ht="19.5">
      <c r="A60" s="314">
        <f>+A55+1</f>
        <v>8</v>
      </c>
      <c r="B60" s="315"/>
      <c r="C60" s="330" t="s">
        <v>88</v>
      </c>
      <c r="D60" s="315"/>
      <c r="E60" s="342"/>
      <c r="F60" s="333"/>
      <c r="G60" s="92"/>
    </row>
    <row r="61" spans="1:7" ht="19.5">
      <c r="A61" s="314">
        <f>+A60+1</f>
        <v>9</v>
      </c>
      <c r="B61" s="315"/>
      <c r="C61" s="332" t="s">
        <v>610</v>
      </c>
      <c r="D61" s="315"/>
      <c r="E61" s="333"/>
      <c r="F61" s="333"/>
      <c r="G61" s="92"/>
    </row>
    <row r="62" spans="1:7" ht="19.5">
      <c r="A62" s="314"/>
      <c r="B62" s="315"/>
      <c r="C62" s="332"/>
      <c r="D62" s="315"/>
      <c r="E62" s="518">
        <v>8364693</v>
      </c>
      <c r="F62" s="337" t="s">
        <v>1228</v>
      </c>
      <c r="G62" s="352" t="s">
        <v>293</v>
      </c>
    </row>
    <row r="63" spans="1:7" ht="19.5">
      <c r="B63" s="315"/>
      <c r="D63" s="315"/>
      <c r="E63" s="333"/>
      <c r="F63" s="333"/>
      <c r="G63" s="92"/>
    </row>
    <row r="64" spans="1:7" ht="18">
      <c r="B64" s="88"/>
      <c r="D64" s="296" t="s">
        <v>102</v>
      </c>
      <c r="G64" s="383" t="s">
        <v>836</v>
      </c>
    </row>
    <row r="65" spans="1:7" ht="18">
      <c r="A65" s="763" t="s">
        <v>587</v>
      </c>
      <c r="B65" s="763"/>
      <c r="C65" s="763"/>
      <c r="D65" s="760"/>
      <c r="E65" s="760"/>
      <c r="F65" s="760"/>
      <c r="G65" s="760"/>
    </row>
    <row r="66" spans="1:7" ht="18">
      <c r="A66" s="764" t="s">
        <v>567</v>
      </c>
      <c r="B66" s="764"/>
      <c r="C66" s="764"/>
      <c r="D66" s="760"/>
      <c r="E66" s="760"/>
      <c r="F66" s="760"/>
      <c r="G66" s="760"/>
    </row>
    <row r="67" spans="1:7" ht="18">
      <c r="A67" s="759" t="s">
        <v>40</v>
      </c>
      <c r="B67" s="759"/>
      <c r="C67" s="759"/>
      <c r="D67" s="760"/>
      <c r="E67" s="760"/>
      <c r="F67" s="760"/>
      <c r="G67" s="760"/>
    </row>
    <row r="68" spans="1:7" ht="18">
      <c r="A68" s="761" t="s">
        <v>1155</v>
      </c>
      <c r="B68" s="761"/>
      <c r="C68" s="762"/>
      <c r="D68" s="760"/>
      <c r="E68" s="760"/>
      <c r="F68" s="760"/>
      <c r="G68" s="760"/>
    </row>
    <row r="69" spans="1:7" ht="18">
      <c r="A69" s="384"/>
      <c r="B69" s="384"/>
      <c r="C69" s="385"/>
      <c r="D69" s="382"/>
      <c r="E69" s="382"/>
      <c r="F69" s="382"/>
      <c r="G69" s="382"/>
    </row>
    <row r="70" spans="1:7" ht="18">
      <c r="A70" s="314"/>
      <c r="B70" s="315"/>
      <c r="C70" s="316" t="s">
        <v>598</v>
      </c>
      <c r="D70" s="317"/>
      <c r="E70" s="318" t="s">
        <v>816</v>
      </c>
      <c r="F70" s="318" t="s">
        <v>599</v>
      </c>
      <c r="G70" s="318" t="s">
        <v>600</v>
      </c>
    </row>
    <row r="71" spans="1:7" ht="18">
      <c r="A71" s="319"/>
      <c r="B71" s="320"/>
      <c r="C71" s="320"/>
      <c r="D71" s="320"/>
      <c r="E71" s="255"/>
      <c r="F71" s="321"/>
    </row>
    <row r="72" spans="1:7" ht="18">
      <c r="A72" s="319" t="s">
        <v>118</v>
      </c>
      <c r="B72" s="320"/>
      <c r="C72" s="320"/>
      <c r="D72" s="320"/>
      <c r="E72" s="322" t="s">
        <v>601</v>
      </c>
      <c r="F72" s="323"/>
    </row>
    <row r="73" spans="1:7" ht="18">
      <c r="A73" s="324" t="s">
        <v>602</v>
      </c>
      <c r="B73" s="325"/>
      <c r="C73" s="324" t="s">
        <v>629</v>
      </c>
      <c r="D73" s="325"/>
      <c r="E73" s="324" t="s">
        <v>603</v>
      </c>
      <c r="F73" s="326" t="s">
        <v>604</v>
      </c>
      <c r="G73" s="326" t="s">
        <v>359</v>
      </c>
    </row>
    <row r="74" spans="1:7" ht="18">
      <c r="A74" s="322"/>
      <c r="B74" s="374"/>
      <c r="C74" s="322"/>
      <c r="D74" s="374"/>
      <c r="E74" s="322"/>
      <c r="F74" s="329"/>
      <c r="G74" s="353"/>
    </row>
    <row r="75" spans="1:7" ht="19.5">
      <c r="A75" s="314">
        <f>+A61+1</f>
        <v>10</v>
      </c>
      <c r="B75" s="315"/>
      <c r="C75" s="332" t="s">
        <v>503</v>
      </c>
      <c r="D75" s="315"/>
      <c r="E75" s="518">
        <v>0</v>
      </c>
      <c r="F75" s="337">
        <v>0</v>
      </c>
      <c r="G75" s="352" t="s">
        <v>293</v>
      </c>
    </row>
    <row r="76" spans="1:7" ht="19.5">
      <c r="A76" s="314"/>
      <c r="B76" s="315"/>
      <c r="C76" s="332"/>
      <c r="D76" s="315"/>
      <c r="E76" s="520"/>
      <c r="F76" s="519"/>
      <c r="G76" s="352"/>
    </row>
    <row r="77" spans="1:7" ht="19.5">
      <c r="A77" s="314">
        <f>+A75+1</f>
        <v>11</v>
      </c>
      <c r="B77" s="315"/>
      <c r="C77" s="332" t="s">
        <v>504</v>
      </c>
      <c r="D77" s="315"/>
      <c r="E77" s="333"/>
      <c r="F77" s="333"/>
      <c r="G77" s="352" t="s">
        <v>102</v>
      </c>
    </row>
    <row r="78" spans="1:7" ht="19.5">
      <c r="A78" s="314" t="s">
        <v>102</v>
      </c>
      <c r="B78" s="315"/>
      <c r="C78" s="331"/>
      <c r="D78" s="315"/>
      <c r="E78" s="518">
        <v>55474</v>
      </c>
      <c r="F78" s="337" t="s">
        <v>1229</v>
      </c>
      <c r="G78" s="352" t="s">
        <v>293</v>
      </c>
    </row>
    <row r="79" spans="1:7" ht="19.5">
      <c r="A79" s="314"/>
      <c r="B79" s="315"/>
      <c r="C79" s="331"/>
      <c r="D79" s="315"/>
      <c r="E79" s="518">
        <v>386</v>
      </c>
      <c r="F79" s="337" t="s">
        <v>1230</v>
      </c>
      <c r="G79" s="352" t="s">
        <v>293</v>
      </c>
    </row>
    <row r="80" spans="1:7" ht="19.5">
      <c r="A80" s="314"/>
      <c r="B80" s="315"/>
      <c r="C80" s="331"/>
      <c r="D80" s="315"/>
      <c r="E80" s="518">
        <v>102</v>
      </c>
      <c r="F80" s="337" t="s">
        <v>1231</v>
      </c>
      <c r="G80" s="352"/>
    </row>
    <row r="81" spans="1:7" ht="19.5">
      <c r="A81" s="314"/>
      <c r="B81" s="315"/>
      <c r="C81" s="331"/>
      <c r="D81" s="315"/>
      <c r="E81" s="518">
        <v>2402</v>
      </c>
      <c r="F81" s="337" t="s">
        <v>1232</v>
      </c>
      <c r="G81" s="352"/>
    </row>
    <row r="82" spans="1:7" ht="19.5">
      <c r="A82" s="314"/>
      <c r="B82" s="315"/>
      <c r="C82" s="331"/>
      <c r="D82" s="315"/>
      <c r="E82" s="518">
        <v>5</v>
      </c>
      <c r="F82" s="337" t="s">
        <v>1233</v>
      </c>
      <c r="G82" s="352"/>
    </row>
    <row r="83" spans="1:7" ht="19.5">
      <c r="A83" s="314"/>
      <c r="B83" s="315"/>
      <c r="C83" s="331"/>
      <c r="D83" s="315"/>
      <c r="E83" s="518">
        <v>8000</v>
      </c>
      <c r="F83" s="337" t="s">
        <v>1234</v>
      </c>
      <c r="G83" s="352"/>
    </row>
    <row r="84" spans="1:7" ht="19.5">
      <c r="A84" s="314"/>
      <c r="B84" s="315"/>
      <c r="C84" s="331"/>
      <c r="D84" s="315"/>
      <c r="E84" s="518">
        <v>92384</v>
      </c>
      <c r="F84" s="337" t="s">
        <v>1235</v>
      </c>
      <c r="G84" s="352"/>
    </row>
    <row r="85" spans="1:7" ht="19.5">
      <c r="A85" s="314"/>
      <c r="B85" s="315"/>
      <c r="C85" s="331"/>
      <c r="D85" s="315"/>
      <c r="E85" s="518"/>
      <c r="F85" s="337"/>
      <c r="G85" s="352" t="s">
        <v>293</v>
      </c>
    </row>
    <row r="86" spans="1:7" ht="19.5">
      <c r="A86" s="314"/>
      <c r="B86" s="315"/>
      <c r="C86" s="331"/>
      <c r="D86" s="315"/>
      <c r="E86" s="518"/>
      <c r="F86" s="337"/>
      <c r="G86" s="352" t="s">
        <v>293</v>
      </c>
    </row>
    <row r="87" spans="1:7" ht="19.5">
      <c r="A87" s="314"/>
      <c r="B87" s="315"/>
      <c r="C87" s="331"/>
      <c r="D87" s="315"/>
      <c r="E87" s="518"/>
      <c r="F87" s="337"/>
      <c r="G87" s="352" t="s">
        <v>293</v>
      </c>
    </row>
    <row r="88" spans="1:7" ht="19.5">
      <c r="A88" s="314">
        <f>A77+1</f>
        <v>12</v>
      </c>
      <c r="B88" s="315"/>
      <c r="C88" s="330" t="s">
        <v>89</v>
      </c>
      <c r="D88" s="315"/>
    </row>
    <row r="89" spans="1:7" ht="19.5">
      <c r="A89" s="314">
        <f>A88+1</f>
        <v>13</v>
      </c>
      <c r="B89" s="315"/>
      <c r="C89" s="333" t="s">
        <v>611</v>
      </c>
      <c r="D89" s="339"/>
      <c r="E89" s="262"/>
      <c r="F89" s="519"/>
      <c r="G89" s="92"/>
    </row>
    <row r="90" spans="1:7" ht="19.5">
      <c r="A90" s="314"/>
      <c r="B90" s="315"/>
      <c r="C90" s="331"/>
      <c r="D90" s="315"/>
      <c r="E90" s="336">
        <v>0</v>
      </c>
      <c r="F90" s="337">
        <v>0</v>
      </c>
      <c r="G90" s="92"/>
    </row>
    <row r="91" spans="1:7" ht="19.5">
      <c r="A91" s="343">
        <f>A89+1</f>
        <v>14</v>
      </c>
      <c r="B91" s="344"/>
      <c r="C91" s="330" t="s">
        <v>90</v>
      </c>
      <c r="D91" s="345"/>
      <c r="E91" s="335"/>
      <c r="F91" s="333"/>
      <c r="G91" s="92"/>
    </row>
    <row r="92" spans="1:7" ht="19.5">
      <c r="A92" s="343">
        <f>A91+1</f>
        <v>15</v>
      </c>
      <c r="B92" s="344"/>
      <c r="C92" s="331" t="s">
        <v>612</v>
      </c>
      <c r="D92" s="345"/>
      <c r="E92" s="333"/>
      <c r="F92" s="333"/>
      <c r="G92" s="92"/>
    </row>
    <row r="93" spans="1:7" ht="19.5">
      <c r="A93" s="343"/>
      <c r="B93" s="344"/>
      <c r="C93" s="331"/>
      <c r="D93" s="345"/>
      <c r="E93" s="518">
        <v>15540444</v>
      </c>
      <c r="F93" s="337" t="s">
        <v>1236</v>
      </c>
      <c r="G93" s="352" t="s">
        <v>94</v>
      </c>
    </row>
    <row r="94" spans="1:7" ht="19.5">
      <c r="A94" s="343"/>
      <c r="B94" s="344"/>
      <c r="C94" s="331"/>
      <c r="D94" s="345"/>
      <c r="E94" s="518">
        <v>-29208</v>
      </c>
      <c r="F94" s="337" t="s">
        <v>1237</v>
      </c>
      <c r="G94" s="352" t="s">
        <v>94</v>
      </c>
    </row>
    <row r="95" spans="1:7" ht="19.5">
      <c r="A95" s="343"/>
      <c r="B95" s="344"/>
      <c r="C95" s="331"/>
      <c r="D95" s="345"/>
      <c r="E95" s="518">
        <v>-74392</v>
      </c>
      <c r="F95" s="337" t="s">
        <v>1238</v>
      </c>
      <c r="G95" s="352" t="s">
        <v>94</v>
      </c>
    </row>
    <row r="96" spans="1:7" ht="19.5">
      <c r="A96" s="343"/>
      <c r="B96" s="344"/>
      <c r="C96" s="331"/>
      <c r="D96" s="345"/>
      <c r="E96" s="518">
        <v>38366900</v>
      </c>
      <c r="F96" s="337" t="s">
        <v>1239</v>
      </c>
      <c r="G96" s="352" t="s">
        <v>94</v>
      </c>
    </row>
    <row r="97" spans="1:7" ht="19.5">
      <c r="A97" s="314">
        <f>A92+1</f>
        <v>16</v>
      </c>
      <c r="B97" s="315"/>
      <c r="C97" s="331" t="s">
        <v>505</v>
      </c>
      <c r="D97" s="315"/>
      <c r="E97" s="333"/>
      <c r="F97" s="333"/>
      <c r="G97" s="92"/>
    </row>
    <row r="98" spans="1:7" ht="19.5">
      <c r="A98" s="314"/>
      <c r="B98" s="315"/>
      <c r="C98" s="331"/>
      <c r="D98" s="315"/>
      <c r="E98" s="521">
        <v>0</v>
      </c>
      <c r="F98" s="337">
        <v>0</v>
      </c>
      <c r="G98" s="352" t="s">
        <v>98</v>
      </c>
    </row>
    <row r="99" spans="1:7" ht="19.5">
      <c r="A99" s="314"/>
      <c r="B99" s="315"/>
      <c r="C99" s="331"/>
      <c r="D99" s="315"/>
      <c r="E99" s="521"/>
      <c r="F99" s="337"/>
      <c r="G99" s="352" t="s">
        <v>98</v>
      </c>
    </row>
    <row r="100" spans="1:7" ht="19.5">
      <c r="A100" s="314">
        <f>+A97+1</f>
        <v>17</v>
      </c>
      <c r="B100" s="315"/>
      <c r="C100" s="331" t="s">
        <v>506</v>
      </c>
      <c r="D100"/>
      <c r="E100" s="333"/>
      <c r="F100" s="333"/>
      <c r="G100" s="92"/>
    </row>
    <row r="101" spans="1:7" ht="19.5">
      <c r="A101" s="314"/>
      <c r="B101" s="315"/>
      <c r="C101" s="331"/>
      <c r="D101"/>
      <c r="E101" s="521">
        <v>-777</v>
      </c>
      <c r="F101" s="337" t="s">
        <v>1240</v>
      </c>
      <c r="G101" s="352" t="s">
        <v>98</v>
      </c>
    </row>
    <row r="102" spans="1:7" ht="19.5">
      <c r="A102" s="314"/>
      <c r="B102" s="315"/>
      <c r="C102" s="331"/>
      <c r="D102"/>
      <c r="E102" s="521">
        <v>217</v>
      </c>
      <c r="F102" s="337" t="s">
        <v>1241</v>
      </c>
      <c r="G102" s="352" t="s">
        <v>98</v>
      </c>
    </row>
    <row r="103" spans="1:7" ht="19.5">
      <c r="A103" s="314"/>
      <c r="B103" s="315"/>
      <c r="C103" s="331"/>
      <c r="D103"/>
      <c r="E103" s="521">
        <v>-44581</v>
      </c>
      <c r="F103" s="337" t="s">
        <v>1242</v>
      </c>
      <c r="G103" s="352" t="s">
        <v>98</v>
      </c>
    </row>
    <row r="104" spans="1:7" ht="19.5">
      <c r="A104" s="314"/>
      <c r="B104" s="315"/>
      <c r="C104" s="331"/>
      <c r="D104"/>
      <c r="E104" s="521">
        <v>169676</v>
      </c>
      <c r="F104" s="337" t="s">
        <v>1243</v>
      </c>
      <c r="G104" s="352" t="s">
        <v>98</v>
      </c>
    </row>
    <row r="105" spans="1:7" ht="19.5">
      <c r="A105" s="314"/>
      <c r="B105" s="315"/>
      <c r="C105" s="331"/>
      <c r="D105"/>
      <c r="E105" s="521"/>
      <c r="F105" s="337"/>
      <c r="G105" s="352"/>
    </row>
    <row r="106" spans="1:7" ht="19.5">
      <c r="A106" s="314"/>
      <c r="B106" s="315"/>
      <c r="C106" s="331"/>
      <c r="D106"/>
      <c r="E106" s="518"/>
      <c r="F106" s="337"/>
      <c r="G106" s="352"/>
    </row>
    <row r="107" spans="1:7" ht="19.5">
      <c r="A107" s="314"/>
      <c r="B107" s="315"/>
      <c r="C107" s="331"/>
      <c r="D107"/>
      <c r="E107" s="346"/>
      <c r="F107" s="337"/>
      <c r="G107" s="352"/>
    </row>
    <row r="108" spans="1:7" ht="19.5">
      <c r="A108" s="314"/>
      <c r="B108" s="315"/>
      <c r="C108" s="331"/>
      <c r="D108"/>
      <c r="E108" s="346"/>
      <c r="F108" s="337"/>
      <c r="G108" s="352"/>
    </row>
    <row r="109" spans="1:7" ht="19.5">
      <c r="A109" s="314"/>
      <c r="B109" s="315"/>
      <c r="C109" s="331"/>
      <c r="D109"/>
      <c r="E109" s="346"/>
      <c r="F109" s="337"/>
      <c r="G109" s="352" t="s">
        <v>102</v>
      </c>
    </row>
    <row r="110" spans="1:7" ht="19.5">
      <c r="A110" s="314"/>
      <c r="B110" s="315"/>
      <c r="C110" s="331"/>
      <c r="D110"/>
      <c r="E110" s="346" t="s">
        <v>102</v>
      </c>
      <c r="F110" s="337" t="s">
        <v>102</v>
      </c>
      <c r="G110" s="352" t="s">
        <v>102</v>
      </c>
    </row>
    <row r="111" spans="1:7" ht="19.5">
      <c r="A111" s="314">
        <f>+A100+1</f>
        <v>18</v>
      </c>
      <c r="B111" s="315"/>
      <c r="C111" s="331" t="s">
        <v>507</v>
      </c>
      <c r="D111"/>
      <c r="E111" s="333"/>
      <c r="F111" s="333"/>
      <c r="G111" s="352" t="s">
        <v>102</v>
      </c>
    </row>
    <row r="112" spans="1:7" ht="19.5">
      <c r="A112" s="314"/>
      <c r="B112" s="315"/>
      <c r="C112" s="331"/>
      <c r="D112"/>
      <c r="E112" s="521">
        <v>72</v>
      </c>
      <c r="F112" s="337" t="s">
        <v>1244</v>
      </c>
      <c r="G112" s="352" t="s">
        <v>98</v>
      </c>
    </row>
    <row r="113" spans="1:7" ht="19.5">
      <c r="A113" s="314"/>
      <c r="B113" s="315"/>
      <c r="C113" s="331"/>
      <c r="D113"/>
      <c r="E113" s="521">
        <v>260</v>
      </c>
      <c r="F113" s="337" t="s">
        <v>1245</v>
      </c>
      <c r="G113" s="352" t="s">
        <v>98</v>
      </c>
    </row>
    <row r="114" spans="1:7" ht="19.5">
      <c r="A114" s="314"/>
      <c r="B114" s="315"/>
      <c r="C114" s="331"/>
      <c r="D114"/>
      <c r="E114" s="521">
        <v>410</v>
      </c>
      <c r="F114" s="337" t="s">
        <v>1246</v>
      </c>
      <c r="G114" s="352" t="s">
        <v>98</v>
      </c>
    </row>
    <row r="115" spans="1:7" ht="19.5">
      <c r="A115" s="314"/>
      <c r="B115" s="315"/>
      <c r="C115" s="331"/>
      <c r="D115"/>
      <c r="E115" s="521">
        <v>1145</v>
      </c>
      <c r="F115" s="337" t="s">
        <v>1247</v>
      </c>
      <c r="G115" s="352" t="s">
        <v>98</v>
      </c>
    </row>
    <row r="116" spans="1:7" ht="19.5">
      <c r="A116" s="314"/>
      <c r="B116" s="315"/>
      <c r="C116" s="331"/>
      <c r="D116"/>
      <c r="E116" s="521">
        <v>495</v>
      </c>
      <c r="F116" s="337" t="s">
        <v>1248</v>
      </c>
      <c r="G116" s="352" t="s">
        <v>98</v>
      </c>
    </row>
    <row r="117" spans="1:7" ht="19.5">
      <c r="A117" s="314"/>
      <c r="B117" s="315"/>
      <c r="C117" s="331"/>
      <c r="D117"/>
      <c r="E117" s="521"/>
      <c r="F117" s="337"/>
      <c r="G117" s="352"/>
    </row>
    <row r="118" spans="1:7" ht="19.5">
      <c r="A118" s="314"/>
      <c r="B118" s="315"/>
      <c r="C118" s="331"/>
      <c r="D118"/>
      <c r="E118" s="521"/>
      <c r="F118" s="337"/>
      <c r="G118" s="352"/>
    </row>
    <row r="119" spans="1:7" ht="19.5">
      <c r="A119" s="314"/>
      <c r="B119" s="315"/>
      <c r="C119" s="331"/>
      <c r="D119"/>
      <c r="E119" s="521"/>
      <c r="F119" s="337"/>
      <c r="G119" s="352"/>
    </row>
    <row r="120" spans="1:7" ht="19.5">
      <c r="A120" s="314"/>
      <c r="B120" s="315"/>
      <c r="C120" s="331"/>
      <c r="D120"/>
      <c r="E120" s="521"/>
      <c r="F120" s="337" t="s">
        <v>102</v>
      </c>
      <c r="G120" s="352" t="s">
        <v>102</v>
      </c>
    </row>
    <row r="121" spans="1:7" ht="19.5">
      <c r="A121" s="314"/>
      <c r="B121" s="315"/>
      <c r="C121" s="331"/>
      <c r="D121"/>
      <c r="E121" s="521"/>
      <c r="F121" s="337" t="s">
        <v>102</v>
      </c>
      <c r="G121" s="352" t="s">
        <v>102</v>
      </c>
    </row>
    <row r="122" spans="1:7" ht="19.5">
      <c r="A122" s="314"/>
      <c r="B122" s="315"/>
      <c r="C122" s="331"/>
      <c r="D122"/>
      <c r="E122" s="521"/>
      <c r="F122" s="337" t="s">
        <v>102</v>
      </c>
      <c r="G122" s="352" t="s">
        <v>102</v>
      </c>
    </row>
    <row r="123" spans="1:7" ht="19.5">
      <c r="A123" s="314">
        <f>+A111+1</f>
        <v>19</v>
      </c>
      <c r="B123" s="315"/>
      <c r="C123" s="331" t="s">
        <v>613</v>
      </c>
      <c r="D123" s="315"/>
      <c r="E123" s="333"/>
      <c r="F123" s="333"/>
      <c r="G123" s="352" t="s">
        <v>102</v>
      </c>
    </row>
    <row r="124" spans="1:7" ht="19.5">
      <c r="A124" s="314"/>
      <c r="B124" s="315"/>
      <c r="C124" s="331"/>
      <c r="D124" s="315"/>
      <c r="E124" s="521">
        <v>15441511</v>
      </c>
      <c r="F124" s="337" t="s">
        <v>1249</v>
      </c>
      <c r="G124" s="352" t="s">
        <v>98</v>
      </c>
    </row>
    <row r="125" spans="1:7" ht="19.5">
      <c r="A125" s="314"/>
      <c r="B125" s="315"/>
      <c r="C125" s="331"/>
      <c r="D125" s="315"/>
      <c r="E125" s="521"/>
      <c r="F125" s="337"/>
      <c r="G125" s="352"/>
    </row>
    <row r="126" spans="1:7" ht="19.5">
      <c r="A126" s="314"/>
      <c r="B126" s="315"/>
      <c r="C126" s="331"/>
      <c r="D126" s="315"/>
      <c r="E126" s="521"/>
      <c r="F126" s="337"/>
      <c r="G126" s="352"/>
    </row>
    <row r="127" spans="1:7" ht="19.5">
      <c r="A127" s="314"/>
      <c r="B127" s="315"/>
      <c r="C127" s="331"/>
      <c r="D127" s="315"/>
      <c r="E127" s="521"/>
      <c r="F127" s="337"/>
      <c r="G127" s="352"/>
    </row>
    <row r="128" spans="1:7" ht="19.5">
      <c r="A128" s="314"/>
      <c r="B128" s="315"/>
      <c r="C128" s="331"/>
      <c r="D128" s="315"/>
      <c r="E128" s="521"/>
      <c r="F128" s="337"/>
      <c r="G128" s="352"/>
    </row>
    <row r="129" spans="1:7" ht="19.5">
      <c r="A129" s="314"/>
      <c r="B129" s="315"/>
      <c r="C129" s="331"/>
      <c r="D129" s="315"/>
      <c r="E129" s="521"/>
      <c r="F129" s="337"/>
      <c r="G129" s="352"/>
    </row>
    <row r="130" spans="1:7" ht="19.5">
      <c r="A130" s="314"/>
      <c r="B130" s="315"/>
      <c r="C130" s="331"/>
      <c r="D130" s="315"/>
      <c r="E130" s="521"/>
      <c r="F130" s="337"/>
      <c r="G130" s="352"/>
    </row>
    <row r="131" spans="1:7" ht="19.5">
      <c r="A131" s="314"/>
      <c r="B131" s="315"/>
      <c r="C131" s="331"/>
      <c r="D131" s="315"/>
      <c r="E131" s="521"/>
      <c r="F131" s="337"/>
      <c r="G131" s="352"/>
    </row>
    <row r="132" spans="1:7" ht="19.5">
      <c r="A132" s="314"/>
      <c r="B132" s="315"/>
      <c r="C132" s="331"/>
      <c r="D132" s="315"/>
      <c r="E132" s="346"/>
      <c r="F132" s="337" t="s">
        <v>102</v>
      </c>
      <c r="G132" s="352" t="s">
        <v>102</v>
      </c>
    </row>
    <row r="133" spans="1:7" ht="19.5">
      <c r="A133" s="314">
        <f>+A123+1</f>
        <v>20</v>
      </c>
      <c r="B133" s="315"/>
      <c r="C133" s="331" t="s">
        <v>508</v>
      </c>
      <c r="D133" s="315"/>
      <c r="E133" s="333"/>
      <c r="F133" s="333"/>
      <c r="G133" s="352" t="s">
        <v>102</v>
      </c>
    </row>
    <row r="134" spans="1:7" ht="19.5">
      <c r="A134" s="314"/>
      <c r="B134" s="315"/>
      <c r="C134" s="331"/>
      <c r="D134" s="315"/>
      <c r="E134" s="521">
        <v>-187</v>
      </c>
      <c r="F134" s="337" t="s">
        <v>1250</v>
      </c>
      <c r="G134" s="352" t="s">
        <v>98</v>
      </c>
    </row>
    <row r="135" spans="1:7" ht="19.5">
      <c r="A135" s="314"/>
      <c r="B135" s="315"/>
      <c r="C135" s="331"/>
      <c r="D135" s="315"/>
      <c r="E135" s="521">
        <v>-48</v>
      </c>
      <c r="F135" s="337" t="s">
        <v>1251</v>
      </c>
      <c r="G135" s="352" t="s">
        <v>98</v>
      </c>
    </row>
    <row r="136" spans="1:7" ht="19.5">
      <c r="A136" s="314"/>
      <c r="B136" s="315"/>
      <c r="C136" s="331"/>
      <c r="D136" s="315"/>
      <c r="E136" s="521">
        <v>-1</v>
      </c>
      <c r="F136" s="337" t="s">
        <v>1252</v>
      </c>
      <c r="G136" s="352" t="s">
        <v>98</v>
      </c>
    </row>
    <row r="137" spans="1:7" ht="19.5">
      <c r="A137" s="314"/>
      <c r="B137" s="315"/>
      <c r="C137" s="331"/>
      <c r="D137" s="315"/>
      <c r="E137" s="521">
        <v>133975</v>
      </c>
      <c r="F137" s="337" t="s">
        <v>1253</v>
      </c>
      <c r="G137" s="352" t="s">
        <v>98</v>
      </c>
    </row>
    <row r="138" spans="1:7" ht="19.5">
      <c r="A138" s="314"/>
      <c r="B138" s="315"/>
      <c r="C138" s="331"/>
      <c r="D138" s="315"/>
      <c r="E138" s="521">
        <v>42</v>
      </c>
      <c r="F138" s="337" t="s">
        <v>1254</v>
      </c>
      <c r="G138" s="352" t="s">
        <v>98</v>
      </c>
    </row>
    <row r="139" spans="1:7" ht="19.5">
      <c r="A139" s="314"/>
      <c r="B139" s="315"/>
      <c r="C139" s="331"/>
      <c r="D139" s="315"/>
      <c r="E139" s="521">
        <v>-478</v>
      </c>
      <c r="F139" s="337" t="s">
        <v>1255</v>
      </c>
      <c r="G139" s="352" t="s">
        <v>98</v>
      </c>
    </row>
    <row r="140" spans="1:7" ht="19.5">
      <c r="A140" s="314">
        <f>+A133+1</f>
        <v>21</v>
      </c>
      <c r="B140" s="331"/>
      <c r="C140" s="331" t="s">
        <v>509</v>
      </c>
      <c r="D140" s="331"/>
      <c r="E140" s="347"/>
      <c r="F140" s="333"/>
      <c r="G140" s="352" t="s">
        <v>102</v>
      </c>
    </row>
    <row r="141" spans="1:7" ht="19.5">
      <c r="A141" s="314"/>
      <c r="B141" s="331"/>
      <c r="C141" s="331"/>
      <c r="D141" s="331"/>
      <c r="E141" s="521">
        <v>12880</v>
      </c>
      <c r="F141" s="337" t="s">
        <v>1256</v>
      </c>
      <c r="G141" s="352" t="s">
        <v>94</v>
      </c>
    </row>
    <row r="142" spans="1:7" ht="19.5">
      <c r="A142" s="314"/>
      <c r="B142" s="331"/>
      <c r="C142" s="331"/>
      <c r="D142" s="331"/>
      <c r="E142" s="521" t="s">
        <v>102</v>
      </c>
      <c r="F142" s="337" t="s">
        <v>102</v>
      </c>
      <c r="G142" s="352" t="s">
        <v>102</v>
      </c>
    </row>
    <row r="143" spans="1:7" ht="19.5">
      <c r="A143" s="314">
        <f>+A140+1</f>
        <v>22</v>
      </c>
      <c r="B143" s="331"/>
      <c r="C143" s="348" t="s">
        <v>1086</v>
      </c>
      <c r="D143" s="333"/>
      <c r="E143" s="262"/>
      <c r="F143" s="333"/>
      <c r="G143" s="92"/>
    </row>
    <row r="144" spans="1:7" ht="19.5">
      <c r="A144" s="314"/>
      <c r="B144" s="331"/>
      <c r="C144" s="349"/>
      <c r="D144" s="333"/>
      <c r="E144" s="336"/>
      <c r="F144" s="337"/>
      <c r="G144" s="352" t="s">
        <v>616</v>
      </c>
    </row>
    <row r="145" spans="1:6" ht="19.5">
      <c r="A145" s="350"/>
      <c r="B145" s="253"/>
      <c r="C145" s="253"/>
      <c r="D145"/>
      <c r="E145" s="347"/>
      <c r="F145" s="333"/>
    </row>
    <row r="146" spans="1:6" ht="20.25" thickBot="1">
      <c r="A146" s="343">
        <f>+A143+1</f>
        <v>23</v>
      </c>
      <c r="B146" s="253"/>
      <c r="C146" s="331" t="s">
        <v>614</v>
      </c>
      <c r="D146"/>
      <c r="E146" s="351">
        <f>SUM(E26:E144)</f>
        <v>162651636</v>
      </c>
      <c r="F146" s="333"/>
    </row>
    <row r="147" spans="1:6" ht="20.25" thickTop="1">
      <c r="A147" s="350"/>
      <c r="B147" s="253"/>
      <c r="C147" s="331" t="s">
        <v>615</v>
      </c>
      <c r="D147"/>
      <c r="E147" s="338"/>
      <c r="F147" s="338"/>
    </row>
  </sheetData>
  <mergeCells count="8">
    <mergeCell ref="A67:G67"/>
    <mergeCell ref="A68:G68"/>
    <mergeCell ref="A2:G2"/>
    <mergeCell ref="A3:G3"/>
    <mergeCell ref="A4:G4"/>
    <mergeCell ref="A5:G5"/>
    <mergeCell ref="A65:G65"/>
    <mergeCell ref="A66:G66"/>
  </mergeCells>
  <phoneticPr fontId="2" type="noConversion"/>
  <pageMargins left="0.5" right="0.5" top="0.5" bottom="0.5" header="0.5" footer="0.25"/>
  <pageSetup scale="56" fitToHeight="2" orientation="portrait" r:id="rId1"/>
  <headerFooter alignWithMargins="0">
    <oddFooter>&amp;C&amp;A</oddFooter>
  </headerFooter>
  <rowBreaks count="1" manualBreakCount="1">
    <brk id="63" max="6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/>
  <dimension ref="A1:F41"/>
  <sheetViews>
    <sheetView showGridLines="0" view="pageBreakPreview" zoomScale="85" zoomScaleNormal="100" zoomScaleSheetLayoutView="85" workbookViewId="0">
      <selection activeCell="D10" sqref="D10"/>
    </sheetView>
  </sheetViews>
  <sheetFormatPr defaultColWidth="9.140625" defaultRowHeight="12.75"/>
  <cols>
    <col min="1" max="1" width="31.85546875" style="7" customWidth="1"/>
    <col min="2" max="2" width="23.42578125" style="7" customWidth="1"/>
    <col min="3" max="3" width="16.5703125" style="183" customWidth="1"/>
    <col min="4" max="4" width="18.85546875" style="7" customWidth="1"/>
    <col min="5" max="5" width="21.42578125" style="7" customWidth="1"/>
    <col min="6" max="6" width="7.42578125" style="7" customWidth="1"/>
    <col min="7" max="16384" width="9.140625" style="7"/>
  </cols>
  <sheetData>
    <row r="1" spans="1:6">
      <c r="F1" s="206" t="s">
        <v>102</v>
      </c>
    </row>
    <row r="2" spans="1:6">
      <c r="A2" s="765" t="s">
        <v>587</v>
      </c>
      <c r="B2" s="765"/>
      <c r="C2" s="765"/>
      <c r="D2" s="765"/>
      <c r="E2" s="765"/>
      <c r="F2" s="206" t="s">
        <v>102</v>
      </c>
    </row>
    <row r="3" spans="1:6">
      <c r="A3" s="725" t="s">
        <v>567</v>
      </c>
      <c r="B3" s="715"/>
      <c r="C3" s="715"/>
      <c r="D3" s="715"/>
      <c r="E3" s="715"/>
    </row>
    <row r="4" spans="1:6">
      <c r="A4" s="765" t="s">
        <v>41</v>
      </c>
      <c r="B4" s="765"/>
      <c r="C4" s="765"/>
      <c r="D4" s="765"/>
      <c r="E4" s="765"/>
    </row>
    <row r="5" spans="1:6">
      <c r="A5" s="751" t="s">
        <v>1176</v>
      </c>
      <c r="B5" s="726">
        <v>0</v>
      </c>
      <c r="C5" s="726">
        <v>0</v>
      </c>
      <c r="D5" s="726">
        <v>0</v>
      </c>
      <c r="E5" s="726">
        <v>0</v>
      </c>
    </row>
    <row r="6" spans="1:6">
      <c r="C6" s="184"/>
      <c r="D6" s="10"/>
    </row>
    <row r="7" spans="1:6">
      <c r="C7" s="184"/>
      <c r="D7" s="10"/>
    </row>
    <row r="8" spans="1:6" ht="14.25">
      <c r="C8" s="233" t="s">
        <v>617</v>
      </c>
      <c r="D8" s="234" t="s">
        <v>413</v>
      </c>
      <c r="E8" s="140" t="s">
        <v>92</v>
      </c>
    </row>
    <row r="9" spans="1:6">
      <c r="A9" s="8" t="s">
        <v>200</v>
      </c>
      <c r="C9" s="7"/>
    </row>
    <row r="10" spans="1:6">
      <c r="A10" s="8" t="s">
        <v>201</v>
      </c>
      <c r="C10" s="41">
        <v>27692200</v>
      </c>
      <c r="D10" s="41">
        <v>17291379</v>
      </c>
      <c r="E10" s="10">
        <f>SUM(C10:D10)</f>
        <v>44983579</v>
      </c>
    </row>
    <row r="11" spans="1:6">
      <c r="A11" s="8" t="s">
        <v>202</v>
      </c>
      <c r="C11" s="85">
        <v>24477278</v>
      </c>
      <c r="D11" s="85">
        <v>5390979</v>
      </c>
      <c r="E11" s="185">
        <f>SUM(C11:D11)</f>
        <v>29868257</v>
      </c>
      <c r="F11" s="35"/>
    </row>
    <row r="12" spans="1:6">
      <c r="A12" s="8" t="s">
        <v>104</v>
      </c>
      <c r="C12" s="10">
        <f>C10+C11</f>
        <v>52169478</v>
      </c>
      <c r="D12" s="10">
        <f>D10+D11</f>
        <v>22682358</v>
      </c>
      <c r="E12" s="10">
        <f>E10+E11</f>
        <v>74851836</v>
      </c>
    </row>
    <row r="13" spans="1:6">
      <c r="A13" s="7" t="s">
        <v>102</v>
      </c>
      <c r="B13" s="35" t="s">
        <v>102</v>
      </c>
      <c r="C13" s="10"/>
      <c r="D13" s="10"/>
      <c r="E13" s="10"/>
    </row>
    <row r="14" spans="1:6">
      <c r="A14" s="8" t="s">
        <v>203</v>
      </c>
      <c r="C14" s="10"/>
      <c r="D14" s="10"/>
      <c r="E14" s="10"/>
    </row>
    <row r="15" spans="1:6">
      <c r="A15" s="8" t="s">
        <v>204</v>
      </c>
      <c r="C15" s="41">
        <v>69721</v>
      </c>
      <c r="D15" s="41">
        <v>11842915</v>
      </c>
      <c r="E15" s="10">
        <f>SUM(C15:D15)</f>
        <v>11912636</v>
      </c>
    </row>
    <row r="16" spans="1:6">
      <c r="A16" s="8" t="s">
        <v>202</v>
      </c>
      <c r="C16" s="85">
        <v>70732</v>
      </c>
      <c r="D16" s="85">
        <v>3200421</v>
      </c>
      <c r="E16" s="185">
        <f>SUM(C16:D16)</f>
        <v>3271153</v>
      </c>
    </row>
    <row r="17" spans="1:5">
      <c r="A17" s="8" t="s">
        <v>104</v>
      </c>
      <c r="C17" s="10">
        <f>C16+C15</f>
        <v>140453</v>
      </c>
      <c r="D17" s="10">
        <f>D16+D15</f>
        <v>15043336</v>
      </c>
      <c r="E17" s="10">
        <f>E16+E15</f>
        <v>15183789</v>
      </c>
    </row>
    <row r="18" spans="1:5">
      <c r="C18" s="10"/>
      <c r="D18" s="10"/>
      <c r="E18" s="10"/>
    </row>
    <row r="19" spans="1:5">
      <c r="A19" s="8" t="s">
        <v>205</v>
      </c>
      <c r="C19" s="10"/>
      <c r="D19" s="10"/>
      <c r="E19" s="10"/>
    </row>
    <row r="20" spans="1:5">
      <c r="A20" s="8" t="s">
        <v>204</v>
      </c>
      <c r="C20" s="41">
        <v>12375679</v>
      </c>
      <c r="D20" s="41">
        <v>3110091</v>
      </c>
      <c r="E20" s="10">
        <f>SUM(C20:D20)</f>
        <v>15485770</v>
      </c>
    </row>
    <row r="21" spans="1:5">
      <c r="A21" s="8" t="s">
        <v>202</v>
      </c>
      <c r="C21" s="85">
        <v>29851509</v>
      </c>
      <c r="D21" s="85">
        <v>1347324</v>
      </c>
      <c r="E21" s="185">
        <f>SUM(C21:D21)</f>
        <v>31198833</v>
      </c>
    </row>
    <row r="22" spans="1:5">
      <c r="A22" s="8" t="s">
        <v>104</v>
      </c>
      <c r="C22" s="10">
        <f>C21+C20</f>
        <v>42227188</v>
      </c>
      <c r="D22" s="10">
        <f>D21+D20</f>
        <v>4457415</v>
      </c>
      <c r="E22" s="10">
        <f>E21+E20</f>
        <v>46684603</v>
      </c>
    </row>
    <row r="23" spans="1:5">
      <c r="C23" s="10"/>
      <c r="D23" s="10"/>
      <c r="E23" s="10"/>
    </row>
    <row r="24" spans="1:5">
      <c r="A24" s="8" t="s">
        <v>126</v>
      </c>
      <c r="C24" s="41">
        <v>5711367</v>
      </c>
      <c r="D24" s="41">
        <v>8866940</v>
      </c>
      <c r="E24" s="10">
        <f>SUM(C24:D24)</f>
        <v>14578307</v>
      </c>
    </row>
    <row r="25" spans="1:5">
      <c r="C25" s="633" t="s">
        <v>102</v>
      </c>
      <c r="D25" s="10" t="s">
        <v>102</v>
      </c>
      <c r="E25" s="10"/>
    </row>
    <row r="26" spans="1:5">
      <c r="A26" s="8" t="s">
        <v>206</v>
      </c>
      <c r="C26" s="41">
        <v>2666134</v>
      </c>
      <c r="D26" s="41">
        <v>136030</v>
      </c>
      <c r="E26" s="10">
        <f>SUM(C26:D26)</f>
        <v>2802164</v>
      </c>
    </row>
    <row r="27" spans="1:5">
      <c r="C27" s="10"/>
      <c r="D27" s="10"/>
      <c r="E27" s="10"/>
    </row>
    <row r="28" spans="1:5">
      <c r="A28" s="8" t="s">
        <v>127</v>
      </c>
      <c r="C28" s="41">
        <v>0</v>
      </c>
      <c r="D28" s="41">
        <v>0</v>
      </c>
      <c r="E28" s="10">
        <f>SUM(C28:D28)</f>
        <v>0</v>
      </c>
    </row>
    <row r="29" spans="1:5">
      <c r="A29" s="8"/>
      <c r="C29" s="10"/>
      <c r="D29" s="10"/>
      <c r="E29" s="10"/>
    </row>
    <row r="30" spans="1:5">
      <c r="A30" s="186" t="s">
        <v>207</v>
      </c>
      <c r="B30" s="101"/>
      <c r="C30" s="86">
        <f>C12+C17+C22+C24+C26+C28</f>
        <v>102914620</v>
      </c>
      <c r="D30" s="86">
        <f>D12+D17+D22+D24+D26+D28</f>
        <v>51186079</v>
      </c>
      <c r="E30" s="86">
        <f>E12+E17+E22+E24+E26+E28</f>
        <v>154100699</v>
      </c>
    </row>
    <row r="31" spans="1:5">
      <c r="C31" s="10"/>
      <c r="D31" s="10"/>
      <c r="E31" s="10"/>
    </row>
    <row r="32" spans="1:5">
      <c r="A32" s="8" t="s">
        <v>128</v>
      </c>
      <c r="C32" s="10"/>
      <c r="D32" s="10"/>
      <c r="E32" s="10"/>
    </row>
    <row r="33" spans="1:5">
      <c r="A33" s="8" t="s">
        <v>204</v>
      </c>
      <c r="C33" s="41">
        <v>1662082</v>
      </c>
      <c r="D33" s="41">
        <v>32299731</v>
      </c>
      <c r="E33" s="10">
        <f>SUM(C33:D33)</f>
        <v>33961813</v>
      </c>
    </row>
    <row r="34" spans="1:5">
      <c r="A34" s="8" t="s">
        <v>202</v>
      </c>
      <c r="C34" s="85">
        <v>2378368</v>
      </c>
      <c r="D34" s="85">
        <v>347270</v>
      </c>
      <c r="E34" s="185">
        <f>SUM(C34:D34)</f>
        <v>2725638</v>
      </c>
    </row>
    <row r="35" spans="1:5">
      <c r="A35" s="8" t="s">
        <v>104</v>
      </c>
      <c r="C35" s="10">
        <f>C34+C33</f>
        <v>4040450</v>
      </c>
      <c r="D35" s="10">
        <f>D34+D33</f>
        <v>32647001</v>
      </c>
      <c r="E35" s="10">
        <f>E34+E33</f>
        <v>36687451</v>
      </c>
    </row>
    <row r="36" spans="1:5">
      <c r="C36" s="10"/>
      <c r="D36" s="10"/>
      <c r="E36" s="10"/>
    </row>
    <row r="37" spans="1:5">
      <c r="A37" s="8" t="s">
        <v>208</v>
      </c>
      <c r="C37" s="10">
        <f>C30+C35</f>
        <v>106955070</v>
      </c>
      <c r="D37" s="10">
        <f>D30+D35</f>
        <v>83833080</v>
      </c>
      <c r="E37" s="10">
        <f>E30+E35</f>
        <v>190788150</v>
      </c>
    </row>
    <row r="38" spans="1:5">
      <c r="A38" s="8"/>
      <c r="C38" s="10"/>
      <c r="D38" s="187"/>
      <c r="E38" s="35"/>
    </row>
    <row r="39" spans="1:5">
      <c r="A39" s="8"/>
      <c r="C39" s="10"/>
      <c r="D39" s="187"/>
      <c r="E39" s="35"/>
    </row>
    <row r="40" spans="1:5" ht="13.5">
      <c r="A40" s="235" t="s">
        <v>632</v>
      </c>
      <c r="B40" s="245"/>
      <c r="C40" s="246"/>
      <c r="D40" s="10"/>
    </row>
    <row r="41" spans="1:5" ht="13.5">
      <c r="A41" s="235" t="s">
        <v>414</v>
      </c>
      <c r="B41" s="232"/>
      <c r="C41" s="247"/>
    </row>
  </sheetData>
  <mergeCells count="4">
    <mergeCell ref="A2:E2"/>
    <mergeCell ref="A4:E4"/>
    <mergeCell ref="A5:E5"/>
    <mergeCell ref="A3:E3"/>
  </mergeCells>
  <phoneticPr fontId="2" type="noConversion"/>
  <pageMargins left="0.5" right="0.5" top="0.5" bottom="0.5" header="0.5" footer="0.25"/>
  <pageSetup scale="74" orientation="portrait" r:id="rId1"/>
  <headerFooter alignWithMargins="0">
    <oddFooter>&amp;C&amp;A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/>
  <dimension ref="B1:I64"/>
  <sheetViews>
    <sheetView showGridLines="0" view="pageBreakPreview" topLeftCell="A18" zoomScaleNormal="100" zoomScaleSheetLayoutView="100" workbookViewId="0">
      <selection activeCell="D38" sqref="D38"/>
    </sheetView>
  </sheetViews>
  <sheetFormatPr defaultColWidth="9.140625" defaultRowHeight="12.75"/>
  <cols>
    <col min="1" max="2" width="9.140625" style="1"/>
    <col min="3" max="3" width="37.5703125" style="1" customWidth="1"/>
    <col min="4" max="6" width="13.42578125" style="98" bestFit="1" customWidth="1"/>
    <col min="7" max="7" width="7.85546875" style="1" bestFit="1" customWidth="1"/>
    <col min="8" max="8" width="10.140625" style="1" bestFit="1" customWidth="1"/>
    <col min="9" max="9" width="12.42578125" style="1" customWidth="1"/>
    <col min="10" max="16384" width="9.140625" style="1"/>
  </cols>
  <sheetData>
    <row r="1" spans="2:9">
      <c r="G1" s="284" t="s">
        <v>102</v>
      </c>
    </row>
    <row r="2" spans="2:9">
      <c r="G2" s="284" t="s">
        <v>102</v>
      </c>
    </row>
    <row r="3" spans="2:9">
      <c r="C3" s="714" t="s">
        <v>587</v>
      </c>
      <c r="D3" s="714"/>
      <c r="E3" s="714"/>
      <c r="F3" s="714"/>
    </row>
    <row r="4" spans="2:9">
      <c r="C4" s="714" t="s">
        <v>567</v>
      </c>
      <c r="D4" s="714"/>
      <c r="E4" s="714"/>
      <c r="F4" s="714"/>
    </row>
    <row r="5" spans="2:9">
      <c r="C5" s="714" t="s">
        <v>42</v>
      </c>
      <c r="D5" s="714"/>
      <c r="E5" s="714"/>
      <c r="F5" s="714"/>
    </row>
    <row r="6" spans="2:9">
      <c r="C6" s="766" t="s">
        <v>1176</v>
      </c>
      <c r="D6" s="714"/>
      <c r="E6" s="714"/>
      <c r="F6" s="714"/>
      <c r="G6" s="714"/>
      <c r="H6" s="714"/>
      <c r="I6" s="714"/>
    </row>
    <row r="9" spans="2:9" ht="14.25">
      <c r="B9" s="149" t="s">
        <v>106</v>
      </c>
      <c r="D9" s="180" t="s">
        <v>795</v>
      </c>
      <c r="E9" s="180" t="s">
        <v>796</v>
      </c>
      <c r="F9" s="180" t="s">
        <v>92</v>
      </c>
      <c r="G9" s="379" t="s">
        <v>820</v>
      </c>
    </row>
    <row r="10" spans="2:9">
      <c r="B10" s="499">
        <v>500</v>
      </c>
      <c r="C10" s="500" t="s">
        <v>797</v>
      </c>
      <c r="D10" s="426">
        <v>10772209</v>
      </c>
      <c r="E10" s="426"/>
      <c r="F10" s="501">
        <f>SUM(D10:E10)</f>
        <v>10772209</v>
      </c>
      <c r="G10" s="107" t="s">
        <v>267</v>
      </c>
      <c r="I10" s="6"/>
    </row>
    <row r="11" spans="2:9">
      <c r="B11" s="499">
        <v>501</v>
      </c>
      <c r="C11" s="500" t="s">
        <v>101</v>
      </c>
      <c r="D11" s="426"/>
      <c r="E11" s="426">
        <v>5824221</v>
      </c>
      <c r="F11" s="501">
        <f t="shared" ref="F11:F51" si="0">SUM(D11:E11)</f>
        <v>5824221</v>
      </c>
      <c r="I11" s="13"/>
    </row>
    <row r="12" spans="2:9">
      <c r="B12" s="499">
        <v>502</v>
      </c>
      <c r="C12" s="500" t="s">
        <v>798</v>
      </c>
      <c r="D12" s="426">
        <v>10811765</v>
      </c>
      <c r="E12" s="426"/>
      <c r="F12" s="501">
        <f t="shared" si="0"/>
        <v>10811765</v>
      </c>
      <c r="I12" s="13"/>
    </row>
    <row r="13" spans="2:9">
      <c r="B13" s="499">
        <v>505</v>
      </c>
      <c r="C13" s="500" t="s">
        <v>799</v>
      </c>
      <c r="D13" s="426" t="s">
        <v>1000</v>
      </c>
      <c r="E13" s="426"/>
      <c r="F13" s="501">
        <f t="shared" si="0"/>
        <v>0</v>
      </c>
      <c r="I13" s="13"/>
    </row>
    <row r="14" spans="2:9">
      <c r="B14" s="499">
        <v>506</v>
      </c>
      <c r="C14" s="500" t="s">
        <v>135</v>
      </c>
      <c r="D14" s="426">
        <v>8323391</v>
      </c>
      <c r="E14" s="426"/>
      <c r="F14" s="501">
        <f t="shared" si="0"/>
        <v>8323391</v>
      </c>
      <c r="I14" s="13"/>
    </row>
    <row r="15" spans="2:9" s="498" customFormat="1">
      <c r="B15" s="499">
        <v>509</v>
      </c>
      <c r="C15" s="634" t="s">
        <v>1077</v>
      </c>
      <c r="D15" s="426"/>
      <c r="E15" s="426" t="s">
        <v>1000</v>
      </c>
      <c r="F15" s="501">
        <f t="shared" si="0"/>
        <v>0</v>
      </c>
      <c r="I15" s="13"/>
    </row>
    <row r="16" spans="2:9">
      <c r="B16" s="499">
        <v>510</v>
      </c>
      <c r="C16" s="500" t="s">
        <v>141</v>
      </c>
      <c r="D16" s="426"/>
      <c r="E16" s="426">
        <v>454235</v>
      </c>
      <c r="F16" s="501">
        <f t="shared" si="0"/>
        <v>454235</v>
      </c>
      <c r="I16" s="13"/>
    </row>
    <row r="17" spans="2:9">
      <c r="B17" s="499">
        <v>511</v>
      </c>
      <c r="C17" s="500" t="s">
        <v>142</v>
      </c>
      <c r="D17" s="426">
        <v>1128558</v>
      </c>
      <c r="E17" s="426"/>
      <c r="F17" s="501">
        <f t="shared" si="0"/>
        <v>1128558</v>
      </c>
      <c r="I17" s="13"/>
    </row>
    <row r="18" spans="2:9">
      <c r="B18" s="499">
        <v>512</v>
      </c>
      <c r="C18" s="500" t="s">
        <v>143</v>
      </c>
      <c r="D18" s="426"/>
      <c r="E18" s="426">
        <v>10831080</v>
      </c>
      <c r="F18" s="501">
        <f t="shared" si="0"/>
        <v>10831080</v>
      </c>
      <c r="I18" s="13"/>
    </row>
    <row r="19" spans="2:9">
      <c r="B19" s="499">
        <v>513</v>
      </c>
      <c r="C19" s="500" t="s">
        <v>144</v>
      </c>
      <c r="D19" s="426"/>
      <c r="E19" s="426">
        <v>6566379</v>
      </c>
      <c r="F19" s="501">
        <f t="shared" si="0"/>
        <v>6566379</v>
      </c>
      <c r="I19" s="13"/>
    </row>
    <row r="20" spans="2:9">
      <c r="B20" s="499">
        <v>514</v>
      </c>
      <c r="C20" s="500" t="s">
        <v>145</v>
      </c>
      <c r="D20" s="426">
        <v>7038592</v>
      </c>
      <c r="E20" s="502"/>
      <c r="F20" s="501">
        <f t="shared" si="0"/>
        <v>7038592</v>
      </c>
      <c r="I20" s="13"/>
    </row>
    <row r="21" spans="2:9">
      <c r="B21" s="499">
        <v>517</v>
      </c>
      <c r="C21" s="500" t="s">
        <v>132</v>
      </c>
      <c r="D21" s="426">
        <v>0</v>
      </c>
      <c r="E21" s="502"/>
      <c r="F21" s="501">
        <f t="shared" si="0"/>
        <v>0</v>
      </c>
      <c r="I21" s="13"/>
    </row>
    <row r="22" spans="2:9">
      <c r="B22" s="499">
        <v>519</v>
      </c>
      <c r="C22" s="500" t="s">
        <v>545</v>
      </c>
      <c r="D22" s="426">
        <v>0</v>
      </c>
      <c r="E22" s="502"/>
      <c r="F22" s="501">
        <f t="shared" si="0"/>
        <v>0</v>
      </c>
      <c r="I22" s="13"/>
    </row>
    <row r="23" spans="2:9">
      <c r="B23" s="499">
        <v>520</v>
      </c>
      <c r="C23" s="500" t="s">
        <v>133</v>
      </c>
      <c r="D23" s="426">
        <v>0</v>
      </c>
      <c r="E23" s="502"/>
      <c r="F23" s="501">
        <f t="shared" si="0"/>
        <v>0</v>
      </c>
      <c r="I23" s="13"/>
    </row>
    <row r="24" spans="2:9">
      <c r="B24" s="499">
        <v>523</v>
      </c>
      <c r="C24" s="500" t="s">
        <v>134</v>
      </c>
      <c r="D24" s="426">
        <v>0</v>
      </c>
      <c r="E24" s="502"/>
      <c r="F24" s="501">
        <f t="shared" si="0"/>
        <v>0</v>
      </c>
      <c r="I24" s="13"/>
    </row>
    <row r="25" spans="2:9">
      <c r="B25" s="499">
        <v>524</v>
      </c>
      <c r="C25" s="500" t="s">
        <v>800</v>
      </c>
      <c r="D25" s="426">
        <v>0</v>
      </c>
      <c r="E25" s="502"/>
      <c r="F25" s="501">
        <f t="shared" si="0"/>
        <v>0</v>
      </c>
      <c r="I25" s="13"/>
    </row>
    <row r="26" spans="2:9">
      <c r="B26" s="499">
        <v>528</v>
      </c>
      <c r="C26" s="500" t="s">
        <v>141</v>
      </c>
      <c r="D26" s="426">
        <v>0</v>
      </c>
      <c r="E26" s="503">
        <v>0</v>
      </c>
      <c r="F26" s="501">
        <f t="shared" si="0"/>
        <v>0</v>
      </c>
      <c r="I26" s="13"/>
    </row>
    <row r="27" spans="2:9">
      <c r="B27" s="499">
        <v>529</v>
      </c>
      <c r="C27" s="500" t="s">
        <v>142</v>
      </c>
      <c r="D27" s="426">
        <v>0</v>
      </c>
      <c r="E27" s="503"/>
      <c r="F27" s="501">
        <f t="shared" si="0"/>
        <v>0</v>
      </c>
      <c r="I27" s="13"/>
    </row>
    <row r="28" spans="2:9">
      <c r="B28" s="499">
        <v>530</v>
      </c>
      <c r="C28" s="500" t="s">
        <v>543</v>
      </c>
      <c r="D28" s="426">
        <v>0</v>
      </c>
      <c r="E28" s="503">
        <v>0</v>
      </c>
      <c r="F28" s="501">
        <f t="shared" si="0"/>
        <v>0</v>
      </c>
      <c r="I28" s="13"/>
    </row>
    <row r="29" spans="2:9">
      <c r="B29" s="499">
        <v>531</v>
      </c>
      <c r="C29" s="427" t="s">
        <v>144</v>
      </c>
      <c r="D29" s="426">
        <v>0</v>
      </c>
      <c r="E29" s="503">
        <v>0</v>
      </c>
      <c r="F29" s="501">
        <f t="shared" si="0"/>
        <v>0</v>
      </c>
      <c r="I29" s="13"/>
    </row>
    <row r="30" spans="2:9">
      <c r="B30" s="499">
        <v>532</v>
      </c>
      <c r="C30" s="500" t="s">
        <v>801</v>
      </c>
      <c r="D30" s="426">
        <v>0</v>
      </c>
      <c r="E30" s="503">
        <v>0</v>
      </c>
      <c r="F30" s="501">
        <f t="shared" si="0"/>
        <v>0</v>
      </c>
      <c r="I30" s="13"/>
    </row>
    <row r="31" spans="2:9">
      <c r="B31" s="499">
        <v>535</v>
      </c>
      <c r="C31" s="500" t="s">
        <v>132</v>
      </c>
      <c r="D31" s="426">
        <v>1177270</v>
      </c>
      <c r="E31" s="502"/>
      <c r="F31" s="501">
        <f t="shared" si="0"/>
        <v>1177270</v>
      </c>
      <c r="I31" s="13"/>
    </row>
    <row r="32" spans="2:9">
      <c r="B32" s="499">
        <v>536</v>
      </c>
      <c r="C32" s="500" t="s">
        <v>473</v>
      </c>
      <c r="D32" s="426" t="s">
        <v>1000</v>
      </c>
      <c r="E32" s="502"/>
      <c r="F32" s="501">
        <f t="shared" si="0"/>
        <v>0</v>
      </c>
      <c r="I32" s="13"/>
    </row>
    <row r="33" spans="2:9">
      <c r="B33" s="499">
        <v>537</v>
      </c>
      <c r="C33" s="500" t="s">
        <v>474</v>
      </c>
      <c r="D33" s="426">
        <v>253429</v>
      </c>
      <c r="E33" s="502"/>
      <c r="F33" s="501">
        <f t="shared" si="0"/>
        <v>253429</v>
      </c>
      <c r="I33" s="13"/>
    </row>
    <row r="34" spans="2:9">
      <c r="B34" s="499">
        <v>538</v>
      </c>
      <c r="C34" s="500" t="s">
        <v>134</v>
      </c>
      <c r="D34" s="426">
        <v>106462</v>
      </c>
      <c r="E34" s="502"/>
      <c r="F34" s="501">
        <f>SUM(D34:E34)</f>
        <v>106462</v>
      </c>
      <c r="I34" s="13"/>
    </row>
    <row r="35" spans="2:9">
      <c r="B35" s="499">
        <v>539</v>
      </c>
      <c r="C35" s="500" t="s">
        <v>475</v>
      </c>
      <c r="D35" s="426">
        <v>2030352</v>
      </c>
      <c r="E35" s="502"/>
      <c r="F35" s="501">
        <f t="shared" si="0"/>
        <v>2030352</v>
      </c>
      <c r="I35" s="13"/>
    </row>
    <row r="36" spans="2:9" s="498" customFormat="1">
      <c r="B36" s="499">
        <v>540</v>
      </c>
      <c r="C36" s="500" t="s">
        <v>136</v>
      </c>
      <c r="D36" s="426" t="s">
        <v>1000</v>
      </c>
      <c r="E36" s="502"/>
      <c r="F36" s="501">
        <f t="shared" ref="F36" si="1">SUM(D36:E36)</f>
        <v>0</v>
      </c>
      <c r="I36" s="13"/>
    </row>
    <row r="37" spans="2:9">
      <c r="B37" s="499">
        <v>541</v>
      </c>
      <c r="C37" s="500" t="s">
        <v>141</v>
      </c>
      <c r="D37" s="426">
        <v>129648</v>
      </c>
      <c r="E37" s="502"/>
      <c r="F37" s="501">
        <f t="shared" si="0"/>
        <v>129648</v>
      </c>
      <c r="I37" s="13"/>
    </row>
    <row r="38" spans="2:9">
      <c r="B38" s="499">
        <v>542</v>
      </c>
      <c r="C38" s="500" t="s">
        <v>142</v>
      </c>
      <c r="D38" s="426">
        <v>1699261</v>
      </c>
      <c r="E38" s="502"/>
      <c r="F38" s="501">
        <f t="shared" si="0"/>
        <v>1699261</v>
      </c>
      <c r="I38" s="13"/>
    </row>
    <row r="39" spans="2:9">
      <c r="B39" s="499">
        <v>543</v>
      </c>
      <c r="C39" s="500" t="s">
        <v>802</v>
      </c>
      <c r="D39" s="426">
        <v>745054</v>
      </c>
      <c r="E39" s="502"/>
      <c r="F39" s="501">
        <f t="shared" si="0"/>
        <v>745054</v>
      </c>
      <c r="I39" s="13"/>
    </row>
    <row r="40" spans="2:9">
      <c r="B40" s="499">
        <v>544</v>
      </c>
      <c r="C40" s="500" t="s">
        <v>144</v>
      </c>
      <c r="D40" s="426"/>
      <c r="E40" s="504">
        <v>997188</v>
      </c>
      <c r="F40" s="501">
        <f t="shared" si="0"/>
        <v>997188</v>
      </c>
      <c r="I40" s="13"/>
    </row>
    <row r="41" spans="2:9">
      <c r="B41" s="499">
        <v>545</v>
      </c>
      <c r="C41" s="500" t="s">
        <v>803</v>
      </c>
      <c r="D41" s="426">
        <v>32175</v>
      </c>
      <c r="E41" s="504"/>
      <c r="F41" s="501">
        <f t="shared" si="0"/>
        <v>32175</v>
      </c>
      <c r="I41" s="13"/>
    </row>
    <row r="42" spans="2:9">
      <c r="B42" s="499">
        <v>546</v>
      </c>
      <c r="C42" s="500" t="s">
        <v>132</v>
      </c>
      <c r="D42" s="426">
        <v>86801</v>
      </c>
      <c r="E42" s="504"/>
      <c r="F42" s="501">
        <f t="shared" si="0"/>
        <v>86801</v>
      </c>
      <c r="I42" s="13"/>
    </row>
    <row r="43" spans="2:9">
      <c r="B43" s="499">
        <v>547</v>
      </c>
      <c r="C43" s="500" t="s">
        <v>101</v>
      </c>
      <c r="D43" s="426"/>
      <c r="E43" s="504">
        <v>30424</v>
      </c>
      <c r="F43" s="501">
        <f t="shared" si="0"/>
        <v>30424</v>
      </c>
      <c r="I43" s="13"/>
    </row>
    <row r="44" spans="2:9">
      <c r="B44" s="499">
        <v>548</v>
      </c>
      <c r="C44" s="500" t="s">
        <v>138</v>
      </c>
      <c r="D44" s="426">
        <v>456122</v>
      </c>
      <c r="E44" s="504"/>
      <c r="F44" s="501">
        <f t="shared" si="0"/>
        <v>456122</v>
      </c>
      <c r="I44" s="13"/>
    </row>
    <row r="45" spans="2:9">
      <c r="B45" s="499">
        <v>549</v>
      </c>
      <c r="C45" s="500" t="s">
        <v>804</v>
      </c>
      <c r="D45" s="426">
        <v>16749</v>
      </c>
      <c r="E45" s="504"/>
      <c r="F45" s="501">
        <f t="shared" si="0"/>
        <v>16749</v>
      </c>
      <c r="I45" s="13"/>
    </row>
    <row r="46" spans="2:9" s="498" customFormat="1">
      <c r="B46" s="499">
        <v>550</v>
      </c>
      <c r="C46" s="708" t="s">
        <v>136</v>
      </c>
      <c r="D46" s="426">
        <v>2097</v>
      </c>
      <c r="E46" s="504"/>
      <c r="F46" s="501">
        <f t="shared" si="0"/>
        <v>2097</v>
      </c>
      <c r="I46" s="13"/>
    </row>
    <row r="47" spans="2:9">
      <c r="B47" s="499">
        <v>553</v>
      </c>
      <c r="C47" s="427" t="s">
        <v>211</v>
      </c>
      <c r="D47" s="426">
        <v>246087</v>
      </c>
      <c r="E47" s="502"/>
      <c r="F47" s="501">
        <f t="shared" si="0"/>
        <v>246087</v>
      </c>
      <c r="I47" s="13"/>
    </row>
    <row r="48" spans="2:9">
      <c r="B48" s="499">
        <v>554</v>
      </c>
      <c r="C48" s="500" t="s">
        <v>805</v>
      </c>
      <c r="D48" s="426">
        <v>0</v>
      </c>
      <c r="E48" s="502"/>
      <c r="F48" s="501">
        <f t="shared" si="0"/>
        <v>0</v>
      </c>
      <c r="I48" s="13"/>
    </row>
    <row r="49" spans="2:9">
      <c r="B49" s="499">
        <v>555</v>
      </c>
      <c r="C49" s="500" t="s">
        <v>197</v>
      </c>
      <c r="D49" s="425">
        <f>+F49*'WP-14'!G64</f>
        <v>0</v>
      </c>
      <c r="E49" s="505">
        <f>+F49-D49</f>
        <v>0</v>
      </c>
      <c r="F49" s="506">
        <v>0</v>
      </c>
      <c r="I49" s="13"/>
    </row>
    <row r="50" spans="2:9">
      <c r="B50" s="499">
        <v>556</v>
      </c>
      <c r="C50" s="500" t="s">
        <v>147</v>
      </c>
      <c r="D50" s="426">
        <v>1688983</v>
      </c>
      <c r="E50" s="426"/>
      <c r="F50" s="501">
        <f t="shared" si="0"/>
        <v>1688983</v>
      </c>
      <c r="I50" s="181"/>
    </row>
    <row r="51" spans="2:9">
      <c r="B51" s="499">
        <v>557</v>
      </c>
      <c r="C51" s="500" t="s">
        <v>213</v>
      </c>
      <c r="D51" s="432">
        <v>3403304</v>
      </c>
      <c r="E51" s="432"/>
      <c r="F51" s="507">
        <f t="shared" si="0"/>
        <v>3403304</v>
      </c>
      <c r="I51" s="181"/>
    </row>
    <row r="52" spans="2:9">
      <c r="B52" s="182" t="s">
        <v>794</v>
      </c>
      <c r="D52" s="6">
        <f>SUM(D10:D51)</f>
        <v>50148309</v>
      </c>
      <c r="E52" s="6">
        <f>SUM(E10:E51)</f>
        <v>24703527</v>
      </c>
      <c r="F52" s="6">
        <f>SUM(F10:F51)</f>
        <v>74851836</v>
      </c>
      <c r="G52" s="181"/>
    </row>
    <row r="53" spans="2:9">
      <c r="F53" s="98" t="s">
        <v>102</v>
      </c>
      <c r="G53" s="181" t="s">
        <v>102</v>
      </c>
    </row>
    <row r="54" spans="2:9">
      <c r="C54" s="107" t="s">
        <v>129</v>
      </c>
      <c r="D54" s="99">
        <f>ROUND(D52/$F$52,10)</f>
        <v>0.66996765449999995</v>
      </c>
      <c r="E54" s="99">
        <f>ROUND(E52/$F$52,10)</f>
        <v>0.33003234549999999</v>
      </c>
      <c r="F54" s="99">
        <f>ROUND(F52/$F$52,10)</f>
        <v>1</v>
      </c>
    </row>
    <row r="55" spans="2:9">
      <c r="D55" s="99" t="s">
        <v>102</v>
      </c>
      <c r="E55" s="99" t="s">
        <v>102</v>
      </c>
    </row>
    <row r="56" spans="2:9" ht="13.5">
      <c r="C56" s="256" t="s">
        <v>102</v>
      </c>
      <c r="F56" s="6"/>
    </row>
    <row r="57" spans="2:9" ht="14.25">
      <c r="B57" s="195" t="s">
        <v>496</v>
      </c>
      <c r="F57" s="6"/>
    </row>
    <row r="58" spans="2:9">
      <c r="B58" s="210" t="s">
        <v>497</v>
      </c>
      <c r="D58" s="1"/>
    </row>
    <row r="59" spans="2:9">
      <c r="D59" s="1"/>
    </row>
    <row r="60" spans="2:9">
      <c r="D60" s="1"/>
    </row>
    <row r="61" spans="2:9">
      <c r="D61" s="1"/>
    </row>
    <row r="62" spans="2:9">
      <c r="D62" s="1"/>
    </row>
    <row r="63" spans="2:9">
      <c r="D63" s="1"/>
    </row>
    <row r="64" spans="2:9">
      <c r="D64" s="1"/>
    </row>
  </sheetData>
  <mergeCells count="5">
    <mergeCell ref="C3:F3"/>
    <mergeCell ref="C4:F4"/>
    <mergeCell ref="C5:F5"/>
    <mergeCell ref="C6:F6"/>
    <mergeCell ref="G6:I6"/>
  </mergeCells>
  <phoneticPr fontId="2" type="noConversion"/>
  <pageMargins left="0.5" right="0.5" top="0.5" bottom="0.5" header="0.5" footer="0.25"/>
  <pageSetup scale="86" orientation="portrait" r:id="rId1"/>
  <headerFooter alignWithMargins="0">
    <oddFooter>&amp;C&amp;A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8"/>
  <dimension ref="A1:I207"/>
  <sheetViews>
    <sheetView showGridLines="0" view="pageBreakPreview" topLeftCell="A163" zoomScale="88" zoomScaleNormal="100" zoomScaleSheetLayoutView="88" workbookViewId="0">
      <selection activeCell="B194" sqref="B194"/>
    </sheetView>
  </sheetViews>
  <sheetFormatPr defaultColWidth="9.140625" defaultRowHeight="12.75"/>
  <cols>
    <col min="1" max="1" width="9.140625" style="7"/>
    <col min="2" max="2" width="40.42578125" style="7" customWidth="1"/>
    <col min="3" max="3" width="10" style="7" customWidth="1"/>
    <col min="4" max="4" width="17.85546875" style="7" customWidth="1"/>
    <col min="5" max="5" width="11.42578125" style="7" customWidth="1"/>
    <col min="6" max="6" width="10.42578125" style="7" bestFit="1" customWidth="1"/>
    <col min="7" max="8" width="12.5703125" style="7" customWidth="1"/>
    <col min="9" max="9" width="9.140625" style="7"/>
    <col min="10" max="10" width="10.140625" style="7" bestFit="1" customWidth="1"/>
    <col min="11" max="16384" width="9.140625" style="7"/>
  </cols>
  <sheetData>
    <row r="1" spans="1:7">
      <c r="E1" s="206" t="s">
        <v>102</v>
      </c>
      <c r="F1" s="206" t="s">
        <v>102</v>
      </c>
      <c r="G1" s="7" t="s">
        <v>830</v>
      </c>
    </row>
    <row r="2" spans="1:7">
      <c r="A2" s="767" t="s">
        <v>587</v>
      </c>
      <c r="B2" s="715"/>
      <c r="C2" s="715"/>
      <c r="D2" s="715"/>
      <c r="E2" s="715"/>
      <c r="F2" s="715"/>
      <c r="G2" s="715"/>
    </row>
    <row r="3" spans="1:7">
      <c r="A3" s="714" t="s">
        <v>567</v>
      </c>
      <c r="B3" s="714"/>
      <c r="C3" s="714"/>
      <c r="D3" s="714"/>
      <c r="E3" s="715"/>
      <c r="F3" s="715"/>
      <c r="G3" s="715"/>
    </row>
    <row r="4" spans="1:7">
      <c r="A4" s="767" t="s">
        <v>43</v>
      </c>
      <c r="B4" s="715"/>
      <c r="C4" s="715"/>
      <c r="D4" s="715"/>
      <c r="E4" s="715"/>
      <c r="F4" s="715"/>
      <c r="G4" s="715"/>
    </row>
    <row r="5" spans="1:7">
      <c r="A5" s="768" t="s">
        <v>1176</v>
      </c>
      <c r="B5" s="715"/>
      <c r="C5" s="715"/>
      <c r="D5" s="715"/>
      <c r="E5" s="715"/>
      <c r="F5" s="715"/>
      <c r="G5" s="715"/>
    </row>
    <row r="6" spans="1:7">
      <c r="A6" s="176" t="s">
        <v>102</v>
      </c>
      <c r="B6" s="74"/>
      <c r="C6" s="74"/>
      <c r="D6" s="74"/>
    </row>
    <row r="7" spans="1:7">
      <c r="A7" s="177" t="s">
        <v>94</v>
      </c>
      <c r="B7" s="13"/>
      <c r="C7" s="13"/>
      <c r="D7" s="13"/>
    </row>
    <row r="8" spans="1:7">
      <c r="B8" s="22" t="s">
        <v>106</v>
      </c>
      <c r="C8" s="13"/>
      <c r="D8" s="372" t="s">
        <v>283</v>
      </c>
      <c r="F8" s="140" t="s">
        <v>346</v>
      </c>
    </row>
    <row r="9" spans="1:7">
      <c r="A9" s="424">
        <v>500</v>
      </c>
      <c r="B9" s="425" t="s">
        <v>132</v>
      </c>
      <c r="C9" s="425"/>
      <c r="D9" s="426">
        <v>17922328</v>
      </c>
      <c r="E9" s="427"/>
      <c r="F9" s="427" t="s">
        <v>807</v>
      </c>
      <c r="G9" s="427"/>
    </row>
    <row r="10" spans="1:7">
      <c r="A10" s="424">
        <v>501</v>
      </c>
      <c r="B10" s="425" t="s">
        <v>101</v>
      </c>
      <c r="C10" s="425"/>
      <c r="D10" s="426">
        <v>896985858</v>
      </c>
      <c r="E10" s="427"/>
      <c r="F10" s="427" t="s">
        <v>808</v>
      </c>
      <c r="G10" s="427"/>
    </row>
    <row r="11" spans="1:7">
      <c r="A11" s="424">
        <v>502</v>
      </c>
      <c r="B11" s="425" t="s">
        <v>133</v>
      </c>
      <c r="C11" s="425"/>
      <c r="D11" s="426">
        <v>45411487</v>
      </c>
      <c r="E11" s="427"/>
      <c r="F11" s="427" t="s">
        <v>667</v>
      </c>
      <c r="G11" s="427"/>
    </row>
    <row r="12" spans="1:7">
      <c r="A12" s="424">
        <v>505</v>
      </c>
      <c r="B12" s="425" t="s">
        <v>134</v>
      </c>
      <c r="C12" s="425"/>
      <c r="D12" s="426">
        <v>132037</v>
      </c>
      <c r="E12" s="427"/>
      <c r="F12" s="427" t="s">
        <v>668</v>
      </c>
      <c r="G12" s="427"/>
    </row>
    <row r="13" spans="1:7">
      <c r="A13" s="424">
        <v>506</v>
      </c>
      <c r="B13" s="425" t="s">
        <v>135</v>
      </c>
      <c r="C13" s="425"/>
      <c r="D13" s="426">
        <v>22377898</v>
      </c>
      <c r="E13" s="427"/>
      <c r="F13" s="427" t="s">
        <v>669</v>
      </c>
      <c r="G13" s="427"/>
    </row>
    <row r="14" spans="1:7">
      <c r="A14" s="424">
        <v>507</v>
      </c>
      <c r="B14" s="425" t="s">
        <v>136</v>
      </c>
      <c r="C14" s="425"/>
      <c r="D14" s="426">
        <v>40565</v>
      </c>
      <c r="E14" s="427"/>
      <c r="F14" s="427" t="s">
        <v>670</v>
      </c>
      <c r="G14" s="427"/>
    </row>
    <row r="15" spans="1:7">
      <c r="A15" s="428">
        <v>509</v>
      </c>
      <c r="B15" s="425" t="s">
        <v>137</v>
      </c>
      <c r="C15" s="425"/>
      <c r="D15" s="426">
        <v>1423286</v>
      </c>
      <c r="E15" s="427"/>
      <c r="F15" s="427" t="s">
        <v>671</v>
      </c>
      <c r="G15" s="427"/>
    </row>
    <row r="16" spans="1:7">
      <c r="A16" s="428">
        <v>517</v>
      </c>
      <c r="B16" s="425" t="s">
        <v>132</v>
      </c>
      <c r="C16" s="425"/>
      <c r="D16" s="426">
        <v>0</v>
      </c>
      <c r="E16" s="427"/>
      <c r="F16" s="427" t="s">
        <v>672</v>
      </c>
      <c r="G16" s="427"/>
    </row>
    <row r="17" spans="1:7">
      <c r="A17" s="428">
        <v>518</v>
      </c>
      <c r="B17" s="425" t="s">
        <v>101</v>
      </c>
      <c r="C17" s="425"/>
      <c r="D17" s="426">
        <v>0</v>
      </c>
      <c r="E17" s="427"/>
      <c r="F17" s="427" t="s">
        <v>809</v>
      </c>
      <c r="G17" s="427"/>
    </row>
    <row r="18" spans="1:7">
      <c r="A18" s="428">
        <v>519</v>
      </c>
      <c r="B18" s="425" t="s">
        <v>545</v>
      </c>
      <c r="C18" s="425"/>
      <c r="D18" s="426">
        <v>0</v>
      </c>
      <c r="E18" s="427"/>
      <c r="F18" s="427" t="s">
        <v>673</v>
      </c>
      <c r="G18" s="427"/>
    </row>
    <row r="19" spans="1:7">
      <c r="A19" s="428">
        <v>520</v>
      </c>
      <c r="B19" s="425" t="s">
        <v>133</v>
      </c>
      <c r="C19" s="425"/>
      <c r="D19" s="426">
        <v>0</v>
      </c>
      <c r="E19" s="427"/>
      <c r="F19" s="427" t="s">
        <v>674</v>
      </c>
      <c r="G19" s="427"/>
    </row>
    <row r="20" spans="1:7">
      <c r="A20" s="428">
        <v>523</v>
      </c>
      <c r="B20" s="425" t="s">
        <v>134</v>
      </c>
      <c r="C20" s="425"/>
      <c r="D20" s="426">
        <v>0</v>
      </c>
      <c r="E20" s="427"/>
      <c r="F20" s="427" t="s">
        <v>675</v>
      </c>
      <c r="G20" s="427"/>
    </row>
    <row r="21" spans="1:7">
      <c r="A21" s="428">
        <v>524</v>
      </c>
      <c r="B21" s="425" t="s">
        <v>546</v>
      </c>
      <c r="C21" s="425"/>
      <c r="D21" s="426">
        <v>0</v>
      </c>
      <c r="E21" s="427"/>
      <c r="F21" s="427" t="s">
        <v>676</v>
      </c>
      <c r="G21" s="427"/>
    </row>
    <row r="22" spans="1:7">
      <c r="A22" s="428">
        <v>535</v>
      </c>
      <c r="B22" s="425" t="s">
        <v>132</v>
      </c>
      <c r="C22" s="425"/>
      <c r="D22" s="426">
        <v>1669327</v>
      </c>
      <c r="E22" s="427"/>
      <c r="F22" s="427" t="s">
        <v>677</v>
      </c>
      <c r="G22" s="427"/>
    </row>
    <row r="23" spans="1:7">
      <c r="A23" s="428">
        <v>536</v>
      </c>
      <c r="B23" s="425" t="s">
        <v>473</v>
      </c>
      <c r="C23" s="425"/>
      <c r="D23" s="426">
        <v>27126</v>
      </c>
      <c r="E23" s="427"/>
      <c r="F23" s="427" t="s">
        <v>678</v>
      </c>
      <c r="G23" s="427"/>
    </row>
    <row r="24" spans="1:7">
      <c r="A24" s="428">
        <v>537</v>
      </c>
      <c r="B24" s="425" t="s">
        <v>474</v>
      </c>
      <c r="C24" s="425"/>
      <c r="D24" s="426">
        <v>251186</v>
      </c>
      <c r="E24" s="427"/>
      <c r="F24" s="427" t="s">
        <v>679</v>
      </c>
      <c r="G24" s="427"/>
    </row>
    <row r="25" spans="1:7">
      <c r="A25" s="428">
        <v>538</v>
      </c>
      <c r="B25" s="425" t="s">
        <v>134</v>
      </c>
      <c r="C25" s="425"/>
      <c r="D25" s="426">
        <v>156175</v>
      </c>
      <c r="E25" s="427"/>
      <c r="F25" s="427" t="s">
        <v>680</v>
      </c>
      <c r="G25" s="427"/>
    </row>
    <row r="26" spans="1:7">
      <c r="A26" s="428">
        <v>539</v>
      </c>
      <c r="B26" s="425" t="s">
        <v>475</v>
      </c>
      <c r="C26" s="425"/>
      <c r="D26" s="426">
        <v>3885244</v>
      </c>
      <c r="E26" s="427"/>
      <c r="F26" s="427" t="s">
        <v>681</v>
      </c>
      <c r="G26" s="427"/>
    </row>
    <row r="27" spans="1:7">
      <c r="A27" s="428">
        <v>540</v>
      </c>
      <c r="B27" s="425" t="s">
        <v>136</v>
      </c>
      <c r="C27" s="425"/>
      <c r="D27" s="426">
        <v>346886</v>
      </c>
      <c r="E27" s="427"/>
      <c r="F27" s="427" t="s">
        <v>810</v>
      </c>
      <c r="G27" s="427"/>
    </row>
    <row r="28" spans="1:7">
      <c r="A28" s="429">
        <v>546</v>
      </c>
      <c r="B28" s="425" t="s">
        <v>132</v>
      </c>
      <c r="C28" s="425"/>
      <c r="D28" s="426">
        <v>148775</v>
      </c>
      <c r="E28" s="427"/>
      <c r="F28" s="427" t="s">
        <v>682</v>
      </c>
      <c r="G28" s="427"/>
    </row>
    <row r="29" spans="1:7">
      <c r="A29" s="429">
        <v>547</v>
      </c>
      <c r="B29" s="425" t="s">
        <v>101</v>
      </c>
      <c r="C29" s="425"/>
      <c r="D29" s="426">
        <v>10419504</v>
      </c>
      <c r="E29" s="427"/>
      <c r="F29" s="427" t="s">
        <v>683</v>
      </c>
      <c r="G29" s="427"/>
    </row>
    <row r="30" spans="1:7">
      <c r="A30" s="430" t="s">
        <v>209</v>
      </c>
      <c r="B30" s="431" t="s">
        <v>138</v>
      </c>
      <c r="C30" s="425"/>
      <c r="D30" s="426">
        <v>612472</v>
      </c>
      <c r="E30" s="427"/>
      <c r="F30" s="427" t="s">
        <v>684</v>
      </c>
      <c r="G30" s="427"/>
    </row>
    <row r="31" spans="1:7">
      <c r="A31" s="430" t="s">
        <v>210</v>
      </c>
      <c r="B31" s="431" t="s">
        <v>139</v>
      </c>
      <c r="C31" s="425"/>
      <c r="D31" s="441">
        <v>281207</v>
      </c>
      <c r="E31" s="427"/>
      <c r="F31" s="427" t="s">
        <v>685</v>
      </c>
      <c r="G31" s="427"/>
    </row>
    <row r="32" spans="1:7">
      <c r="A32" s="688" t="s">
        <v>1143</v>
      </c>
      <c r="B32" s="689" t="s">
        <v>136</v>
      </c>
      <c r="C32" s="425"/>
      <c r="D32" s="432">
        <v>10967</v>
      </c>
      <c r="E32" s="427"/>
      <c r="F32" s="427"/>
      <c r="G32" s="427"/>
    </row>
    <row r="33" spans="1:9">
      <c r="A33" s="424"/>
      <c r="B33" s="425" t="s">
        <v>140</v>
      </c>
      <c r="C33" s="425"/>
      <c r="D33" s="433">
        <f>SUM(D9:D32)</f>
        <v>1002102328</v>
      </c>
      <c r="E33" s="425" t="s">
        <v>102</v>
      </c>
      <c r="F33" s="427" t="s">
        <v>102</v>
      </c>
      <c r="G33" s="427"/>
    </row>
    <row r="34" spans="1:9">
      <c r="A34" s="424"/>
      <c r="B34" s="425"/>
      <c r="C34" s="425"/>
      <c r="D34" s="425"/>
      <c r="E34" s="427"/>
      <c r="F34" s="427"/>
      <c r="G34" s="427"/>
    </row>
    <row r="35" spans="1:9">
      <c r="A35" s="424">
        <v>510</v>
      </c>
      <c r="B35" s="431" t="s">
        <v>141</v>
      </c>
      <c r="C35" s="425"/>
      <c r="D35" s="426">
        <v>2983094</v>
      </c>
      <c r="E35" s="427"/>
      <c r="F35" s="427" t="s">
        <v>686</v>
      </c>
      <c r="G35" s="427"/>
    </row>
    <row r="36" spans="1:9">
      <c r="A36" s="424">
        <v>511</v>
      </c>
      <c r="B36" s="425" t="s">
        <v>142</v>
      </c>
      <c r="C36" s="425"/>
      <c r="D36" s="426">
        <v>6175854</v>
      </c>
      <c r="E36" s="427"/>
      <c r="F36" s="427" t="s">
        <v>687</v>
      </c>
      <c r="G36" s="427"/>
      <c r="H36" s="13"/>
      <c r="I36" s="178"/>
    </row>
    <row r="37" spans="1:9">
      <c r="A37" s="424">
        <v>512</v>
      </c>
      <c r="B37" s="425" t="s">
        <v>143</v>
      </c>
      <c r="C37" s="425"/>
      <c r="D37" s="426">
        <v>49089661</v>
      </c>
      <c r="E37" s="427"/>
      <c r="F37" s="427" t="s">
        <v>688</v>
      </c>
      <c r="G37" s="427"/>
      <c r="H37" s="13"/>
      <c r="I37" s="178"/>
    </row>
    <row r="38" spans="1:9">
      <c r="A38" s="424">
        <v>513</v>
      </c>
      <c r="B38" s="425" t="s">
        <v>144</v>
      </c>
      <c r="C38" s="425"/>
      <c r="D38" s="426">
        <v>17932921</v>
      </c>
      <c r="E38" s="427"/>
      <c r="F38" s="427" t="s">
        <v>689</v>
      </c>
      <c r="G38" s="427"/>
      <c r="H38" s="13"/>
      <c r="I38" s="178"/>
    </row>
    <row r="39" spans="1:9">
      <c r="A39" s="424">
        <v>514</v>
      </c>
      <c r="B39" s="425" t="s">
        <v>145</v>
      </c>
      <c r="C39" s="425"/>
      <c r="D39" s="426">
        <v>12518832</v>
      </c>
      <c r="E39" s="427"/>
      <c r="F39" s="427" t="s">
        <v>690</v>
      </c>
      <c r="G39" s="427"/>
      <c r="H39" s="13"/>
      <c r="I39" s="178"/>
    </row>
    <row r="40" spans="1:9">
      <c r="A40" s="424">
        <v>528</v>
      </c>
      <c r="B40" s="425" t="s">
        <v>141</v>
      </c>
      <c r="C40" s="425"/>
      <c r="D40" s="426">
        <v>0</v>
      </c>
      <c r="E40" s="427"/>
      <c r="F40" s="427" t="s">
        <v>691</v>
      </c>
      <c r="G40" s="427"/>
      <c r="H40" s="13"/>
      <c r="I40" s="178"/>
    </row>
    <row r="41" spans="1:9">
      <c r="A41" s="424">
        <v>529</v>
      </c>
      <c r="B41" s="425" t="s">
        <v>142</v>
      </c>
      <c r="C41" s="425"/>
      <c r="D41" s="426">
        <v>0</v>
      </c>
      <c r="E41" s="427"/>
      <c r="F41" s="427" t="s">
        <v>692</v>
      </c>
      <c r="G41" s="427"/>
      <c r="H41" s="13"/>
      <c r="I41" s="178"/>
    </row>
    <row r="42" spans="1:9">
      <c r="A42" s="424">
        <v>530</v>
      </c>
      <c r="B42" s="425" t="s">
        <v>543</v>
      </c>
      <c r="C42" s="425"/>
      <c r="D42" s="426">
        <v>0</v>
      </c>
      <c r="E42" s="427"/>
      <c r="F42" s="427" t="s">
        <v>693</v>
      </c>
      <c r="G42" s="427"/>
      <c r="H42" s="13"/>
      <c r="I42" s="178"/>
    </row>
    <row r="43" spans="1:9">
      <c r="A43" s="424">
        <v>531</v>
      </c>
      <c r="B43" s="425" t="s">
        <v>144</v>
      </c>
      <c r="C43" s="425"/>
      <c r="D43" s="426">
        <v>0</v>
      </c>
      <c r="E43" s="427"/>
      <c r="F43" s="427" t="s">
        <v>694</v>
      </c>
      <c r="G43" s="427"/>
      <c r="H43" s="13"/>
      <c r="I43" s="178"/>
    </row>
    <row r="44" spans="1:9">
      <c r="A44" s="424">
        <v>532</v>
      </c>
      <c r="B44" s="425" t="s">
        <v>544</v>
      </c>
      <c r="C44" s="425"/>
      <c r="D44" s="426">
        <v>0</v>
      </c>
      <c r="E44" s="427"/>
      <c r="F44" s="427" t="s">
        <v>695</v>
      </c>
      <c r="G44" s="427"/>
      <c r="H44" s="13"/>
      <c r="I44" s="178"/>
    </row>
    <row r="45" spans="1:9">
      <c r="A45" s="424">
        <v>541</v>
      </c>
      <c r="B45" s="431" t="s">
        <v>141</v>
      </c>
      <c r="C45" s="425"/>
      <c r="D45" s="426">
        <v>187177</v>
      </c>
      <c r="E45" s="427"/>
      <c r="F45" s="427" t="s">
        <v>696</v>
      </c>
      <c r="G45" s="427"/>
      <c r="H45" s="13"/>
      <c r="I45" s="178"/>
    </row>
    <row r="46" spans="1:9">
      <c r="A46" s="424">
        <v>542</v>
      </c>
      <c r="B46" s="425" t="s">
        <v>142</v>
      </c>
      <c r="C46" s="425"/>
      <c r="D46" s="426">
        <v>3420508</v>
      </c>
      <c r="E46" s="427"/>
      <c r="F46" s="427" t="s">
        <v>697</v>
      </c>
      <c r="G46" s="427"/>
      <c r="H46" s="13"/>
      <c r="I46" s="178"/>
    </row>
    <row r="47" spans="1:9">
      <c r="A47" s="424">
        <v>543</v>
      </c>
      <c r="B47" s="425" t="s">
        <v>476</v>
      </c>
      <c r="C47" s="425"/>
      <c r="D47" s="426">
        <v>2542618</v>
      </c>
      <c r="E47" s="427"/>
      <c r="F47" s="427" t="s">
        <v>698</v>
      </c>
      <c r="G47" s="427"/>
      <c r="H47" s="13"/>
      <c r="I47" s="178"/>
    </row>
    <row r="48" spans="1:9">
      <c r="A48" s="424">
        <v>544</v>
      </c>
      <c r="B48" s="425" t="s">
        <v>144</v>
      </c>
      <c r="C48" s="425"/>
      <c r="D48" s="426">
        <v>3718571</v>
      </c>
      <c r="E48" s="427"/>
      <c r="F48" s="427" t="s">
        <v>699</v>
      </c>
      <c r="G48" s="427"/>
      <c r="H48" s="13"/>
      <c r="I48" s="178"/>
    </row>
    <row r="49" spans="1:9">
      <c r="A49" s="424">
        <v>545</v>
      </c>
      <c r="B49" s="425" t="s">
        <v>477</v>
      </c>
      <c r="C49" s="425"/>
      <c r="D49" s="426">
        <v>241486</v>
      </c>
      <c r="E49" s="427"/>
      <c r="F49" s="427" t="s">
        <v>700</v>
      </c>
      <c r="G49" s="427"/>
      <c r="H49" s="13"/>
      <c r="I49" s="178"/>
    </row>
    <row r="50" spans="1:9">
      <c r="A50" s="424">
        <v>551</v>
      </c>
      <c r="B50" s="425" t="s">
        <v>141</v>
      </c>
      <c r="C50" s="425"/>
      <c r="D50" s="426">
        <v>11</v>
      </c>
      <c r="E50" s="427"/>
      <c r="F50" s="427" t="s">
        <v>701</v>
      </c>
      <c r="G50" s="427"/>
      <c r="H50" s="13"/>
      <c r="I50" s="178"/>
    </row>
    <row r="51" spans="1:9">
      <c r="A51" s="428">
        <v>553</v>
      </c>
      <c r="B51" s="431" t="s">
        <v>211</v>
      </c>
      <c r="C51" s="425"/>
      <c r="D51" s="426">
        <v>707617</v>
      </c>
      <c r="E51" s="427"/>
      <c r="F51" s="427" t="s">
        <v>702</v>
      </c>
      <c r="G51" s="427"/>
      <c r="H51" s="13"/>
      <c r="I51" s="178"/>
    </row>
    <row r="52" spans="1:9">
      <c r="A52" s="430">
        <v>554</v>
      </c>
      <c r="B52" s="425" t="s">
        <v>212</v>
      </c>
      <c r="C52" s="425"/>
      <c r="D52" s="432">
        <v>0</v>
      </c>
      <c r="E52" s="427"/>
      <c r="F52" s="427" t="s">
        <v>811</v>
      </c>
      <c r="G52" s="427"/>
      <c r="H52" s="13"/>
      <c r="I52" s="178"/>
    </row>
    <row r="53" spans="1:9">
      <c r="A53" s="424"/>
      <c r="B53" s="425" t="s">
        <v>146</v>
      </c>
      <c r="C53" s="425"/>
      <c r="D53" s="425">
        <f>SUM(D35:D52)</f>
        <v>99518350</v>
      </c>
      <c r="E53" s="427"/>
      <c r="F53" s="427" t="s">
        <v>102</v>
      </c>
      <c r="G53" s="427"/>
      <c r="H53" s="13"/>
      <c r="I53" s="178"/>
    </row>
    <row r="54" spans="1:9">
      <c r="A54" s="424"/>
      <c r="B54" s="425"/>
      <c r="C54" s="425"/>
      <c r="D54" s="425" t="s">
        <v>102</v>
      </c>
      <c r="E54" s="427"/>
      <c r="F54" s="427" t="s">
        <v>102</v>
      </c>
      <c r="G54" s="427"/>
      <c r="H54" s="13"/>
      <c r="I54" s="178"/>
    </row>
    <row r="55" spans="1:9">
      <c r="A55" s="434">
        <v>555</v>
      </c>
      <c r="B55" s="425" t="s">
        <v>197</v>
      </c>
      <c r="C55" s="425"/>
      <c r="D55" s="426">
        <v>521965140</v>
      </c>
      <c r="E55" s="427"/>
      <c r="F55" s="427" t="s">
        <v>703</v>
      </c>
      <c r="G55" s="427"/>
      <c r="H55" s="13"/>
      <c r="I55" s="178"/>
    </row>
    <row r="56" spans="1:9">
      <c r="A56" s="424">
        <v>556</v>
      </c>
      <c r="B56" s="425" t="s">
        <v>147</v>
      </c>
      <c r="C56" s="425"/>
      <c r="D56" s="426">
        <v>2307787</v>
      </c>
      <c r="E56" s="427"/>
      <c r="F56" s="427" t="s">
        <v>704</v>
      </c>
      <c r="G56" s="427"/>
      <c r="H56" s="13"/>
      <c r="I56" s="178"/>
    </row>
    <row r="57" spans="1:9">
      <c r="A57" s="424">
        <v>557</v>
      </c>
      <c r="B57" s="425" t="s">
        <v>213</v>
      </c>
      <c r="C57" s="425"/>
      <c r="D57" s="432">
        <v>20587167</v>
      </c>
      <c r="E57" s="427"/>
      <c r="F57" s="427" t="s">
        <v>705</v>
      </c>
      <c r="G57" s="427"/>
      <c r="H57" s="13"/>
      <c r="I57" s="178"/>
    </row>
    <row r="58" spans="1:9">
      <c r="A58" s="427"/>
      <c r="B58" s="425" t="s">
        <v>148</v>
      </c>
      <c r="C58" s="425"/>
      <c r="D58" s="425">
        <f>SUM(D55:D57)</f>
        <v>544860094</v>
      </c>
      <c r="E58" s="427"/>
      <c r="F58" s="427" t="s">
        <v>706</v>
      </c>
      <c r="G58" s="427"/>
      <c r="H58" s="13"/>
      <c r="I58" s="178"/>
    </row>
    <row r="59" spans="1:9">
      <c r="A59" s="427"/>
      <c r="B59" s="425"/>
      <c r="C59" s="425"/>
      <c r="D59" s="425"/>
      <c r="E59" s="427"/>
      <c r="F59" s="427" t="s">
        <v>102</v>
      </c>
      <c r="G59" s="427"/>
      <c r="H59" s="13"/>
      <c r="I59" s="178"/>
    </row>
    <row r="60" spans="1:9">
      <c r="A60" s="427"/>
      <c r="B60" s="425" t="s">
        <v>130</v>
      </c>
      <c r="C60" s="425"/>
      <c r="D60" s="425">
        <f>+D33+D53+D58</f>
        <v>1646480772</v>
      </c>
      <c r="E60" s="427"/>
      <c r="F60" s="427" t="s">
        <v>707</v>
      </c>
      <c r="G60" s="427"/>
      <c r="H60" s="13"/>
      <c r="I60" s="178"/>
    </row>
    <row r="61" spans="1:9">
      <c r="A61" s="427"/>
      <c r="B61" s="425"/>
      <c r="C61" s="425"/>
      <c r="D61" s="425"/>
      <c r="E61" s="427"/>
      <c r="F61" s="427"/>
      <c r="G61" s="427"/>
      <c r="H61" s="13"/>
      <c r="I61" s="178"/>
    </row>
    <row r="62" spans="1:9">
      <c r="A62" s="427"/>
      <c r="B62" s="425"/>
      <c r="C62" s="425"/>
      <c r="D62" s="425"/>
      <c r="E62" s="427"/>
      <c r="F62" s="427"/>
      <c r="G62" s="427"/>
      <c r="H62" s="13"/>
      <c r="I62" s="178"/>
    </row>
    <row r="63" spans="1:9">
      <c r="A63" s="427"/>
      <c r="B63" s="427"/>
      <c r="C63" s="427"/>
      <c r="D63" s="427"/>
      <c r="E63" s="435" t="s">
        <v>102</v>
      </c>
      <c r="F63" s="435" t="s">
        <v>102</v>
      </c>
      <c r="G63" s="427" t="s">
        <v>831</v>
      </c>
      <c r="H63" s="13"/>
      <c r="I63" s="178"/>
    </row>
    <row r="64" spans="1:9">
      <c r="A64" s="769" t="s">
        <v>587</v>
      </c>
      <c r="B64" s="710"/>
      <c r="C64" s="710"/>
      <c r="D64" s="710"/>
      <c r="E64" s="710"/>
      <c r="F64" s="710"/>
      <c r="G64" s="710"/>
      <c r="H64" s="13"/>
      <c r="I64" s="178"/>
    </row>
    <row r="65" spans="1:9">
      <c r="A65" s="710" t="s">
        <v>567</v>
      </c>
      <c r="B65" s="710"/>
      <c r="C65" s="710"/>
      <c r="D65" s="710"/>
      <c r="E65" s="710"/>
      <c r="F65" s="710"/>
      <c r="G65" s="710"/>
      <c r="H65" s="13"/>
      <c r="I65" s="178"/>
    </row>
    <row r="66" spans="1:9">
      <c r="A66" s="769" t="s">
        <v>43</v>
      </c>
      <c r="B66" s="710"/>
      <c r="C66" s="710"/>
      <c r="D66" s="710"/>
      <c r="E66" s="710"/>
      <c r="F66" s="710"/>
      <c r="G66" s="710"/>
      <c r="H66" s="13"/>
      <c r="I66" s="178"/>
    </row>
    <row r="67" spans="1:9">
      <c r="A67" s="770" t="str">
        <f>A5</f>
        <v>For the Year Ended December 31, 2023</v>
      </c>
      <c r="B67" s="710"/>
      <c r="C67" s="710"/>
      <c r="D67" s="710"/>
      <c r="E67" s="710"/>
      <c r="F67" s="710"/>
      <c r="G67" s="710"/>
      <c r="H67" s="13"/>
      <c r="I67" s="178"/>
    </row>
    <row r="68" spans="1:9">
      <c r="A68" s="427"/>
      <c r="B68" s="425"/>
      <c r="C68" s="425"/>
      <c r="D68" s="425"/>
      <c r="E68" s="427"/>
      <c r="F68" s="427" t="s">
        <v>102</v>
      </c>
      <c r="G68" s="427"/>
      <c r="H68" s="13"/>
      <c r="I68" s="178"/>
    </row>
    <row r="69" spans="1:9">
      <c r="A69" s="436" t="s">
        <v>99</v>
      </c>
      <c r="B69" s="425"/>
      <c r="C69" s="425"/>
      <c r="D69" s="425"/>
      <c r="E69" s="427"/>
      <c r="F69" s="427" t="s">
        <v>102</v>
      </c>
      <c r="G69" s="427"/>
      <c r="H69" s="13"/>
      <c r="I69" s="178"/>
    </row>
    <row r="70" spans="1:9">
      <c r="A70" s="424">
        <v>560</v>
      </c>
      <c r="B70" s="425" t="s">
        <v>132</v>
      </c>
      <c r="C70" s="425"/>
      <c r="D70" s="426">
        <v>14497305</v>
      </c>
      <c r="E70" s="427"/>
      <c r="F70" s="427" t="s">
        <v>708</v>
      </c>
      <c r="G70" s="427"/>
      <c r="H70" s="13"/>
      <c r="I70" s="178"/>
    </row>
    <row r="71" spans="1:9">
      <c r="A71" s="437">
        <v>561.1</v>
      </c>
      <c r="B71" s="425" t="s">
        <v>522</v>
      </c>
      <c r="C71" s="425"/>
      <c r="D71" s="426">
        <v>0</v>
      </c>
      <c r="E71" s="427"/>
      <c r="F71" s="427" t="s">
        <v>709</v>
      </c>
      <c r="G71" s="427"/>
      <c r="H71" s="13"/>
      <c r="I71" s="178"/>
    </row>
    <row r="72" spans="1:9">
      <c r="A72" s="437">
        <v>561.20000000000005</v>
      </c>
      <c r="B72" s="425" t="s">
        <v>523</v>
      </c>
      <c r="C72" s="425"/>
      <c r="D72" s="426">
        <v>2107572</v>
      </c>
      <c r="E72" s="427"/>
      <c r="F72" s="427" t="s">
        <v>710</v>
      </c>
      <c r="G72" s="427"/>
      <c r="H72" s="13"/>
      <c r="I72" s="178"/>
    </row>
    <row r="73" spans="1:9">
      <c r="A73" s="437">
        <v>561.29999999999995</v>
      </c>
      <c r="B73" s="425" t="s">
        <v>524</v>
      </c>
      <c r="C73" s="425"/>
      <c r="D73" s="426">
        <v>0</v>
      </c>
      <c r="E73" s="427"/>
      <c r="F73" s="427" t="s">
        <v>711</v>
      </c>
      <c r="G73" s="427"/>
      <c r="H73" s="13"/>
      <c r="I73" s="178"/>
    </row>
    <row r="74" spans="1:9">
      <c r="A74" s="437">
        <v>561.4</v>
      </c>
      <c r="B74" s="425" t="s">
        <v>525</v>
      </c>
      <c r="C74" s="425"/>
      <c r="D74" s="426">
        <v>6757186</v>
      </c>
      <c r="E74" s="427"/>
      <c r="F74" s="427" t="s">
        <v>712</v>
      </c>
      <c r="G74" s="427"/>
      <c r="H74" s="13"/>
      <c r="I74" s="178"/>
    </row>
    <row r="75" spans="1:9">
      <c r="A75" s="437">
        <v>561.5</v>
      </c>
      <c r="B75" s="425" t="s">
        <v>526</v>
      </c>
      <c r="C75" s="425"/>
      <c r="D75" s="426">
        <v>454347</v>
      </c>
      <c r="E75" s="427"/>
      <c r="F75" s="427" t="s">
        <v>713</v>
      </c>
      <c r="G75" s="427"/>
      <c r="H75" s="13"/>
      <c r="I75" s="178"/>
    </row>
    <row r="76" spans="1:9">
      <c r="A76" s="437">
        <v>561.6</v>
      </c>
      <c r="B76" s="425" t="s">
        <v>527</v>
      </c>
      <c r="C76" s="425"/>
      <c r="D76" s="426">
        <v>0</v>
      </c>
      <c r="E76" s="427"/>
      <c r="F76" s="427" t="s">
        <v>714</v>
      </c>
      <c r="G76" s="427"/>
      <c r="H76" s="13"/>
      <c r="I76" s="178"/>
    </row>
    <row r="77" spans="1:9">
      <c r="A77" s="437">
        <v>561.70000000000005</v>
      </c>
      <c r="B77" s="425" t="s">
        <v>528</v>
      </c>
      <c r="C77" s="425"/>
      <c r="D77" s="426">
        <v>0</v>
      </c>
      <c r="E77" s="427"/>
      <c r="F77" s="427" t="s">
        <v>715</v>
      </c>
      <c r="G77" s="427"/>
      <c r="H77" s="13"/>
      <c r="I77" s="178"/>
    </row>
    <row r="78" spans="1:9">
      <c r="A78" s="437">
        <v>561.79999999999995</v>
      </c>
      <c r="B78" s="425" t="s">
        <v>526</v>
      </c>
      <c r="C78" s="425"/>
      <c r="D78" s="426">
        <v>1973833</v>
      </c>
      <c r="E78" s="427"/>
      <c r="F78" s="427" t="s">
        <v>716</v>
      </c>
      <c r="G78" s="427"/>
      <c r="H78" s="13"/>
      <c r="I78" s="178"/>
    </row>
    <row r="79" spans="1:9">
      <c r="A79" s="424">
        <v>562</v>
      </c>
      <c r="B79" s="425" t="s">
        <v>150</v>
      </c>
      <c r="C79" s="425"/>
      <c r="D79" s="426">
        <v>1980988</v>
      </c>
      <c r="E79" s="427"/>
      <c r="F79" s="427" t="s">
        <v>717</v>
      </c>
      <c r="G79" s="427"/>
      <c r="H79" s="13"/>
      <c r="I79" s="178"/>
    </row>
    <row r="80" spans="1:9">
      <c r="A80" s="424">
        <v>563</v>
      </c>
      <c r="B80" s="425" t="s">
        <v>151</v>
      </c>
      <c r="C80" s="425"/>
      <c r="D80" s="426">
        <v>72312</v>
      </c>
      <c r="E80" s="427"/>
      <c r="F80" s="427" t="s">
        <v>718</v>
      </c>
      <c r="G80" s="427"/>
      <c r="H80" s="13"/>
      <c r="I80" s="178"/>
    </row>
    <row r="81" spans="1:9">
      <c r="A81" s="430" t="s">
        <v>214</v>
      </c>
      <c r="B81" s="425" t="s">
        <v>152</v>
      </c>
      <c r="C81" s="425"/>
      <c r="D81" s="426">
        <v>0</v>
      </c>
      <c r="E81" s="427"/>
      <c r="F81" s="427" t="s">
        <v>719</v>
      </c>
      <c r="G81" s="427"/>
      <c r="H81" s="13"/>
      <c r="I81" s="178"/>
    </row>
    <row r="82" spans="1:9">
      <c r="A82" s="424">
        <v>565</v>
      </c>
      <c r="B82" s="425" t="s">
        <v>153</v>
      </c>
      <c r="C82" s="425"/>
      <c r="D82" s="426">
        <v>378126908</v>
      </c>
      <c r="E82" s="427"/>
      <c r="F82" s="427" t="s">
        <v>720</v>
      </c>
      <c r="G82" s="427"/>
      <c r="H82" s="13"/>
      <c r="I82" s="178"/>
    </row>
    <row r="83" spans="1:9">
      <c r="A83" s="424">
        <v>566</v>
      </c>
      <c r="B83" s="425" t="s">
        <v>154</v>
      </c>
      <c r="C83" s="425"/>
      <c r="D83" s="426">
        <v>-2730975</v>
      </c>
      <c r="E83" s="427"/>
      <c r="F83" s="427" t="s">
        <v>721</v>
      </c>
      <c r="G83" s="427"/>
      <c r="H83" s="13"/>
      <c r="I83" s="178"/>
    </row>
    <row r="84" spans="1:9">
      <c r="A84" s="424">
        <v>567</v>
      </c>
      <c r="B84" s="425" t="s">
        <v>136</v>
      </c>
      <c r="C84" s="425"/>
      <c r="D84" s="432">
        <v>65486</v>
      </c>
      <c r="E84" s="427"/>
      <c r="F84" s="427" t="s">
        <v>722</v>
      </c>
      <c r="G84" s="427"/>
      <c r="H84" s="13"/>
      <c r="I84" s="178"/>
    </row>
    <row r="85" spans="1:9">
      <c r="A85" s="424"/>
      <c r="B85" s="425" t="s">
        <v>140</v>
      </c>
      <c r="C85" s="425"/>
      <c r="D85" s="433">
        <f>SUM(D70:D84)</f>
        <v>403304962</v>
      </c>
      <c r="E85" s="427"/>
      <c r="F85" s="427" t="s">
        <v>723</v>
      </c>
      <c r="G85" s="427"/>
      <c r="H85" s="13"/>
      <c r="I85" s="178"/>
    </row>
    <row r="86" spans="1:9">
      <c r="A86" s="424"/>
      <c r="B86" s="425"/>
      <c r="C86" s="425"/>
      <c r="D86" s="425"/>
      <c r="E86" s="427"/>
      <c r="F86" s="427" t="s">
        <v>102</v>
      </c>
      <c r="G86" s="427"/>
      <c r="H86" s="13"/>
      <c r="I86" s="178"/>
    </row>
    <row r="87" spans="1:9">
      <c r="A87" s="424">
        <v>568</v>
      </c>
      <c r="B87" s="431" t="s">
        <v>141</v>
      </c>
      <c r="C87" s="425"/>
      <c r="D87" s="426">
        <v>197766</v>
      </c>
      <c r="E87" s="427"/>
      <c r="F87" s="427" t="s">
        <v>724</v>
      </c>
      <c r="G87" s="427"/>
      <c r="H87" s="13"/>
      <c r="I87" s="178"/>
    </row>
    <row r="88" spans="1:9">
      <c r="A88" s="424">
        <v>569</v>
      </c>
      <c r="B88" s="425" t="s">
        <v>142</v>
      </c>
      <c r="C88" s="425"/>
      <c r="D88" s="426">
        <v>97745</v>
      </c>
      <c r="E88" s="427"/>
      <c r="F88" s="427" t="s">
        <v>725</v>
      </c>
      <c r="G88" s="427"/>
      <c r="H88" s="13"/>
      <c r="I88" s="178"/>
    </row>
    <row r="89" spans="1:9">
      <c r="A89" s="437">
        <v>569.1</v>
      </c>
      <c r="B89" s="425" t="s">
        <v>540</v>
      </c>
      <c r="C89" s="425"/>
      <c r="D89" s="426">
        <v>62877</v>
      </c>
      <c r="E89" s="427"/>
      <c r="F89" s="427" t="s">
        <v>726</v>
      </c>
      <c r="G89" s="427"/>
      <c r="H89" s="13"/>
      <c r="I89" s="178"/>
    </row>
    <row r="90" spans="1:9">
      <c r="A90" s="437">
        <v>569.20000000000005</v>
      </c>
      <c r="B90" s="425" t="s">
        <v>541</v>
      </c>
      <c r="C90" s="425"/>
      <c r="D90" s="426">
        <v>1271974</v>
      </c>
      <c r="E90" s="427"/>
      <c r="F90" s="427" t="s">
        <v>727</v>
      </c>
      <c r="G90" s="427"/>
      <c r="H90" s="13"/>
      <c r="I90" s="178"/>
    </row>
    <row r="91" spans="1:9">
      <c r="A91" s="437">
        <v>569.29999999999995</v>
      </c>
      <c r="B91" s="425" t="s">
        <v>542</v>
      </c>
      <c r="C91" s="425"/>
      <c r="D91" s="426">
        <v>73867</v>
      </c>
      <c r="E91" s="427"/>
      <c r="F91" s="427" t="s">
        <v>728</v>
      </c>
      <c r="G91" s="427"/>
      <c r="H91" s="13"/>
      <c r="I91" s="178"/>
    </row>
    <row r="92" spans="1:9">
      <c r="A92" s="424">
        <v>570</v>
      </c>
      <c r="B92" s="431" t="s">
        <v>155</v>
      </c>
      <c r="C92" s="425"/>
      <c r="D92" s="426">
        <v>3190733</v>
      </c>
      <c r="E92" s="427"/>
      <c r="F92" s="427" t="s">
        <v>729</v>
      </c>
      <c r="G92" s="427"/>
      <c r="H92" s="13"/>
      <c r="I92" s="178"/>
    </row>
    <row r="93" spans="1:9">
      <c r="A93" s="424">
        <v>571</v>
      </c>
      <c r="B93" s="431" t="s">
        <v>156</v>
      </c>
      <c r="C93" s="425"/>
      <c r="D93" s="426">
        <v>19635247</v>
      </c>
      <c r="E93" s="427"/>
      <c r="F93" s="427" t="s">
        <v>730</v>
      </c>
      <c r="G93" s="427"/>
      <c r="H93" s="13"/>
      <c r="I93" s="178"/>
    </row>
    <row r="94" spans="1:9">
      <c r="A94" s="430" t="s">
        <v>215</v>
      </c>
      <c r="B94" s="431" t="s">
        <v>163</v>
      </c>
      <c r="C94" s="425"/>
      <c r="D94" s="426">
        <v>15808</v>
      </c>
      <c r="E94" s="427"/>
      <c r="F94" s="427" t="s">
        <v>731</v>
      </c>
      <c r="G94" s="427"/>
      <c r="H94" s="13"/>
      <c r="I94" s="178"/>
    </row>
    <row r="95" spans="1:9">
      <c r="A95" s="424">
        <v>573</v>
      </c>
      <c r="B95" s="431" t="s">
        <v>157</v>
      </c>
      <c r="C95" s="425"/>
      <c r="D95" s="432">
        <v>97334</v>
      </c>
      <c r="E95" s="427"/>
      <c r="F95" s="427" t="s">
        <v>732</v>
      </c>
      <c r="G95" s="427"/>
      <c r="H95" s="13"/>
      <c r="I95" s="178"/>
    </row>
    <row r="96" spans="1:9">
      <c r="A96" s="425"/>
      <c r="B96" s="425" t="s">
        <v>146</v>
      </c>
      <c r="C96" s="425"/>
      <c r="D96" s="425">
        <f>SUM(D87:D95)</f>
        <v>24643351</v>
      </c>
      <c r="E96" s="427"/>
      <c r="F96" s="427" t="s">
        <v>733</v>
      </c>
      <c r="G96" s="427"/>
      <c r="H96" s="13"/>
      <c r="I96" s="178"/>
    </row>
    <row r="97" spans="1:9">
      <c r="A97" s="425"/>
      <c r="B97" s="425"/>
      <c r="C97" s="425"/>
      <c r="D97" s="425"/>
      <c r="E97" s="427"/>
      <c r="F97" s="427" t="s">
        <v>102</v>
      </c>
      <c r="G97" s="427"/>
      <c r="H97" s="13"/>
      <c r="I97" s="178"/>
    </row>
    <row r="98" spans="1:9">
      <c r="A98" s="425"/>
      <c r="B98" s="425" t="s">
        <v>158</v>
      </c>
      <c r="C98" s="425"/>
      <c r="D98" s="425">
        <f>+D85+D96</f>
        <v>427948313</v>
      </c>
      <c r="E98" s="427"/>
      <c r="F98" s="427" t="s">
        <v>734</v>
      </c>
      <c r="G98" s="427"/>
      <c r="H98" s="13"/>
      <c r="I98" s="178"/>
    </row>
    <row r="99" spans="1:9">
      <c r="A99" s="425"/>
      <c r="B99" s="425"/>
      <c r="C99" s="425"/>
      <c r="D99" s="425"/>
      <c r="E99" s="427"/>
      <c r="F99" s="427" t="s">
        <v>102</v>
      </c>
      <c r="G99" s="427"/>
      <c r="H99" s="13"/>
      <c r="I99" s="178"/>
    </row>
    <row r="100" spans="1:9">
      <c r="A100" s="436" t="s">
        <v>478</v>
      </c>
      <c r="B100" s="425"/>
      <c r="C100" s="425"/>
      <c r="D100" s="425"/>
      <c r="E100" s="427"/>
      <c r="F100" s="427" t="s">
        <v>102</v>
      </c>
      <c r="G100" s="427"/>
      <c r="H100" s="13"/>
      <c r="I100" s="178"/>
    </row>
    <row r="101" spans="1:9">
      <c r="A101" s="437">
        <v>575.70000000000005</v>
      </c>
      <c r="B101" s="425" t="s">
        <v>479</v>
      </c>
      <c r="C101" s="425"/>
      <c r="D101" s="426">
        <v>5892099</v>
      </c>
      <c r="E101" s="427"/>
      <c r="F101" s="427" t="s">
        <v>735</v>
      </c>
      <c r="G101" s="427"/>
      <c r="H101" s="13"/>
      <c r="I101" s="178"/>
    </row>
    <row r="102" spans="1:9">
      <c r="A102" s="425"/>
      <c r="B102" s="425"/>
      <c r="C102" s="425"/>
      <c r="D102" s="425"/>
      <c r="E102" s="427"/>
      <c r="F102" s="427" t="s">
        <v>102</v>
      </c>
      <c r="G102" s="427"/>
      <c r="H102" s="13"/>
      <c r="I102" s="178"/>
    </row>
    <row r="103" spans="1:9">
      <c r="A103" s="436" t="s">
        <v>100</v>
      </c>
      <c r="B103" s="425"/>
      <c r="C103" s="425"/>
      <c r="D103" s="425"/>
      <c r="E103" s="427"/>
      <c r="F103" s="427" t="s">
        <v>102</v>
      </c>
      <c r="G103" s="427"/>
      <c r="H103" s="13"/>
      <c r="I103" s="178"/>
    </row>
    <row r="104" spans="1:9">
      <c r="A104" s="438">
        <v>580</v>
      </c>
      <c r="B104" s="425" t="s">
        <v>132</v>
      </c>
      <c r="C104" s="425"/>
      <c r="D104" s="426">
        <v>5696889</v>
      </c>
      <c r="E104" s="427"/>
      <c r="F104" s="427" t="s">
        <v>736</v>
      </c>
      <c r="G104" s="427"/>
      <c r="H104" s="13"/>
      <c r="I104" s="178"/>
    </row>
    <row r="105" spans="1:9" ht="12" customHeight="1">
      <c r="A105" s="438">
        <v>581</v>
      </c>
      <c r="B105" s="425" t="s">
        <v>149</v>
      </c>
      <c r="C105" s="425"/>
      <c r="D105" s="426">
        <v>26038</v>
      </c>
      <c r="E105" s="427"/>
      <c r="F105" s="427" t="s">
        <v>737</v>
      </c>
      <c r="G105" s="427"/>
      <c r="H105" s="13"/>
      <c r="I105" s="178"/>
    </row>
    <row r="106" spans="1:9">
      <c r="A106" s="438">
        <v>582</v>
      </c>
      <c r="B106" s="425" t="s">
        <v>150</v>
      </c>
      <c r="C106" s="425"/>
      <c r="D106" s="426">
        <v>1688156</v>
      </c>
      <c r="E106" s="427"/>
      <c r="F106" s="427" t="s">
        <v>738</v>
      </c>
      <c r="G106" s="427"/>
      <c r="H106" s="13"/>
      <c r="I106" s="178"/>
    </row>
    <row r="107" spans="1:9">
      <c r="A107" s="438">
        <v>583</v>
      </c>
      <c r="B107" s="425" t="s">
        <v>151</v>
      </c>
      <c r="C107" s="425"/>
      <c r="D107" s="426">
        <v>5303327</v>
      </c>
      <c r="E107" s="427"/>
      <c r="F107" s="427" t="s">
        <v>739</v>
      </c>
      <c r="G107" s="427"/>
      <c r="H107" s="13"/>
      <c r="I107" s="178"/>
    </row>
    <row r="108" spans="1:9">
      <c r="A108" s="438">
        <v>584</v>
      </c>
      <c r="B108" s="425" t="s">
        <v>152</v>
      </c>
      <c r="C108" s="425"/>
      <c r="D108" s="426">
        <v>3567101</v>
      </c>
      <c r="E108" s="427"/>
      <c r="F108" s="427" t="s">
        <v>740</v>
      </c>
      <c r="G108" s="427"/>
      <c r="H108" s="13"/>
      <c r="I108" s="178"/>
    </row>
    <row r="109" spans="1:9">
      <c r="A109" s="438">
        <v>585</v>
      </c>
      <c r="B109" s="425" t="s">
        <v>159</v>
      </c>
      <c r="C109" s="425"/>
      <c r="D109" s="426">
        <v>-17235</v>
      </c>
      <c r="E109" s="427"/>
      <c r="F109" s="427" t="s">
        <v>741</v>
      </c>
      <c r="G109" s="427"/>
      <c r="H109" s="13"/>
      <c r="I109" s="178"/>
    </row>
    <row r="110" spans="1:9">
      <c r="A110" s="438">
        <v>586</v>
      </c>
      <c r="B110" s="425" t="s">
        <v>160</v>
      </c>
      <c r="C110" s="425"/>
      <c r="D110" s="426">
        <v>2750013</v>
      </c>
      <c r="E110" s="427"/>
      <c r="F110" s="427" t="s">
        <v>742</v>
      </c>
      <c r="G110" s="427"/>
      <c r="H110" s="13"/>
      <c r="I110" s="178"/>
    </row>
    <row r="111" spans="1:9">
      <c r="A111" s="438">
        <v>587</v>
      </c>
      <c r="B111" s="425" t="s">
        <v>161</v>
      </c>
      <c r="C111" s="425"/>
      <c r="D111" s="426">
        <v>1039122</v>
      </c>
      <c r="E111" s="427"/>
      <c r="F111" s="427" t="s">
        <v>743</v>
      </c>
      <c r="G111" s="427"/>
      <c r="H111" s="13"/>
      <c r="I111" s="178"/>
    </row>
    <row r="112" spans="1:9">
      <c r="A112" s="438">
        <v>588</v>
      </c>
      <c r="B112" s="425" t="s">
        <v>162</v>
      </c>
      <c r="C112" s="425"/>
      <c r="D112" s="426">
        <v>18014060</v>
      </c>
      <c r="E112" s="427"/>
      <c r="F112" s="427" t="s">
        <v>744</v>
      </c>
      <c r="G112" s="427"/>
      <c r="H112" s="13"/>
      <c r="I112" s="178"/>
    </row>
    <row r="113" spans="1:9">
      <c r="A113" s="438">
        <v>589</v>
      </c>
      <c r="B113" s="425" t="s">
        <v>136</v>
      </c>
      <c r="C113" s="425"/>
      <c r="D113" s="432">
        <v>3116801</v>
      </c>
      <c r="E113" s="427"/>
      <c r="F113" s="427" t="s">
        <v>745</v>
      </c>
      <c r="G113" s="427"/>
      <c r="H113" s="13"/>
      <c r="I113" s="178"/>
    </row>
    <row r="114" spans="1:9">
      <c r="A114" s="438"/>
      <c r="B114" s="425" t="s">
        <v>140</v>
      </c>
      <c r="C114" s="425"/>
      <c r="D114" s="425">
        <f>SUM(D104:D113)</f>
        <v>41184272</v>
      </c>
      <c r="E114" s="427"/>
      <c r="F114" s="427" t="s">
        <v>746</v>
      </c>
      <c r="G114" s="427"/>
      <c r="H114" s="13"/>
      <c r="I114" s="178"/>
    </row>
    <row r="115" spans="1:9">
      <c r="A115" s="427"/>
      <c r="B115" s="427"/>
      <c r="C115" s="427"/>
      <c r="D115" s="427"/>
      <c r="E115" s="435" t="s">
        <v>102</v>
      </c>
      <c r="F115" s="435" t="s">
        <v>102</v>
      </c>
      <c r="G115" s="427" t="s">
        <v>832</v>
      </c>
      <c r="H115" s="13"/>
      <c r="I115" s="178"/>
    </row>
    <row r="116" spans="1:9">
      <c r="A116" s="769" t="s">
        <v>587</v>
      </c>
      <c r="B116" s="710"/>
      <c r="C116" s="710"/>
      <c r="D116" s="710"/>
      <c r="E116" s="710"/>
      <c r="F116" s="710"/>
      <c r="G116" s="710"/>
      <c r="H116" s="13"/>
      <c r="I116" s="178"/>
    </row>
    <row r="117" spans="1:9">
      <c r="A117" s="710" t="s">
        <v>567</v>
      </c>
      <c r="B117" s="710"/>
      <c r="C117" s="710"/>
      <c r="D117" s="710"/>
      <c r="E117" s="710"/>
      <c r="F117" s="710"/>
      <c r="G117" s="710"/>
      <c r="H117" s="13"/>
      <c r="I117" s="178"/>
    </row>
    <row r="118" spans="1:9">
      <c r="A118" s="769" t="s">
        <v>43</v>
      </c>
      <c r="B118" s="710"/>
      <c r="C118" s="710"/>
      <c r="D118" s="710"/>
      <c r="E118" s="710"/>
      <c r="F118" s="710"/>
      <c r="G118" s="710"/>
      <c r="H118" s="13"/>
      <c r="I118" s="178"/>
    </row>
    <row r="119" spans="1:9">
      <c r="A119" s="770" t="str">
        <f>A5</f>
        <v>For the Year Ended December 31, 2023</v>
      </c>
      <c r="B119" s="710"/>
      <c r="C119" s="710"/>
      <c r="D119" s="710"/>
      <c r="E119" s="710"/>
      <c r="F119" s="710"/>
      <c r="G119" s="710"/>
      <c r="H119" s="13"/>
      <c r="I119" s="178"/>
    </row>
    <row r="120" spans="1:9">
      <c r="A120" s="438"/>
      <c r="B120" s="425"/>
      <c r="C120" s="425"/>
      <c r="D120" s="425"/>
      <c r="E120" s="427"/>
      <c r="F120" s="427"/>
      <c r="G120" s="427"/>
      <c r="H120" s="13"/>
      <c r="I120" s="178"/>
    </row>
    <row r="121" spans="1:9">
      <c r="A121" s="438">
        <v>590</v>
      </c>
      <c r="B121" s="431" t="s">
        <v>141</v>
      </c>
      <c r="C121" s="425"/>
      <c r="D121" s="426">
        <v>126464</v>
      </c>
      <c r="E121" s="427"/>
      <c r="F121" s="427" t="s">
        <v>747</v>
      </c>
      <c r="G121" s="427"/>
      <c r="H121" s="13"/>
      <c r="I121" s="178"/>
    </row>
    <row r="122" spans="1:9">
      <c r="A122" s="438">
        <v>591</v>
      </c>
      <c r="B122" s="425" t="s">
        <v>142</v>
      </c>
      <c r="C122" s="425"/>
      <c r="D122" s="426">
        <v>84722</v>
      </c>
      <c r="E122" s="427"/>
      <c r="F122" s="427" t="s">
        <v>748</v>
      </c>
      <c r="G122" s="427"/>
      <c r="H122" s="13"/>
      <c r="I122" s="178"/>
    </row>
    <row r="123" spans="1:9">
      <c r="A123" s="438">
        <v>592</v>
      </c>
      <c r="B123" s="431" t="s">
        <v>155</v>
      </c>
      <c r="C123" s="425"/>
      <c r="D123" s="426">
        <v>2071539</v>
      </c>
      <c r="E123" s="427"/>
      <c r="F123" s="427" t="s">
        <v>749</v>
      </c>
      <c r="G123" s="427"/>
      <c r="H123" s="13"/>
      <c r="I123" s="178"/>
    </row>
    <row r="124" spans="1:9">
      <c r="A124" s="438">
        <v>593</v>
      </c>
      <c r="B124" s="431" t="s">
        <v>156</v>
      </c>
      <c r="C124" s="425"/>
      <c r="D124" s="426">
        <v>121526890</v>
      </c>
      <c r="E124" s="427"/>
      <c r="F124" s="427" t="s">
        <v>750</v>
      </c>
      <c r="G124" s="427"/>
      <c r="H124" s="13"/>
      <c r="I124" s="178"/>
    </row>
    <row r="125" spans="1:9">
      <c r="A125" s="438">
        <v>594</v>
      </c>
      <c r="B125" s="431" t="s">
        <v>163</v>
      </c>
      <c r="C125" s="425"/>
      <c r="D125" s="426">
        <v>2687539</v>
      </c>
      <c r="E125" s="427"/>
      <c r="F125" s="427" t="s">
        <v>751</v>
      </c>
      <c r="G125" s="427"/>
      <c r="H125" s="13"/>
      <c r="I125" s="178"/>
    </row>
    <row r="126" spans="1:9">
      <c r="A126" s="438">
        <v>595</v>
      </c>
      <c r="B126" s="425" t="s">
        <v>164</v>
      </c>
      <c r="C126" s="425"/>
      <c r="D126" s="426">
        <v>2161370</v>
      </c>
      <c r="E126" s="427"/>
      <c r="F126" s="427" t="s">
        <v>752</v>
      </c>
      <c r="G126" s="427"/>
      <c r="H126" s="13"/>
      <c r="I126" s="178"/>
    </row>
    <row r="127" spans="1:9">
      <c r="A127" s="438">
        <v>596</v>
      </c>
      <c r="B127" s="425" t="s">
        <v>165</v>
      </c>
      <c r="C127" s="425"/>
      <c r="D127" s="426">
        <v>695789</v>
      </c>
      <c r="E127" s="427"/>
      <c r="F127" s="427" t="s">
        <v>753</v>
      </c>
      <c r="G127" s="427"/>
      <c r="H127" s="13"/>
      <c r="I127" s="178"/>
    </row>
    <row r="128" spans="1:9">
      <c r="A128" s="438">
        <v>597</v>
      </c>
      <c r="B128" s="425" t="s">
        <v>166</v>
      </c>
      <c r="C128" s="425"/>
      <c r="D128" s="426">
        <v>476999</v>
      </c>
      <c r="E128" s="427"/>
      <c r="F128" s="427" t="s">
        <v>754</v>
      </c>
      <c r="G128" s="427"/>
      <c r="H128" s="13"/>
      <c r="I128" s="178"/>
    </row>
    <row r="129" spans="1:9">
      <c r="A129" s="438">
        <v>598</v>
      </c>
      <c r="B129" s="425" t="s">
        <v>167</v>
      </c>
      <c r="C129" s="425"/>
      <c r="D129" s="432">
        <v>5750045</v>
      </c>
      <c r="E129" s="427"/>
      <c r="F129" s="427" t="s">
        <v>755</v>
      </c>
      <c r="G129" s="427"/>
      <c r="H129" s="13"/>
      <c r="I129" s="178"/>
    </row>
    <row r="130" spans="1:9">
      <c r="A130" s="425"/>
      <c r="B130" s="425" t="s">
        <v>146</v>
      </c>
      <c r="C130" s="425"/>
      <c r="D130" s="425">
        <f>SUM(D121:D129)</f>
        <v>135581357</v>
      </c>
      <c r="E130" s="427"/>
      <c r="F130" s="427" t="s">
        <v>756</v>
      </c>
      <c r="G130" s="427"/>
      <c r="H130" s="13"/>
      <c r="I130" s="178"/>
    </row>
    <row r="131" spans="1:9">
      <c r="A131" s="425"/>
      <c r="B131" s="425"/>
      <c r="C131" s="425"/>
      <c r="D131" s="425"/>
      <c r="E131" s="427"/>
      <c r="F131" s="427" t="s">
        <v>102</v>
      </c>
      <c r="G131" s="427"/>
      <c r="H131" s="13"/>
      <c r="I131" s="178"/>
    </row>
    <row r="132" spans="1:9">
      <c r="A132" s="425"/>
      <c r="B132" s="425" t="s">
        <v>168</v>
      </c>
      <c r="C132" s="425"/>
      <c r="D132" s="425">
        <f>+D114+D130</f>
        <v>176765629</v>
      </c>
      <c r="E132" s="427"/>
      <c r="F132" s="427" t="s">
        <v>757</v>
      </c>
      <c r="G132" s="427"/>
      <c r="H132" s="13"/>
      <c r="I132" s="178"/>
    </row>
    <row r="133" spans="1:9">
      <c r="A133" s="425"/>
      <c r="B133" s="425"/>
      <c r="C133" s="425"/>
      <c r="D133" s="425"/>
      <c r="E133" s="427"/>
      <c r="F133" s="427" t="s">
        <v>102</v>
      </c>
      <c r="G133" s="427"/>
      <c r="H133" s="13"/>
      <c r="I133" s="178"/>
    </row>
    <row r="134" spans="1:9">
      <c r="A134" s="427"/>
      <c r="B134" s="425"/>
      <c r="C134" s="425"/>
      <c r="D134" s="425"/>
      <c r="E134" s="427"/>
      <c r="F134" s="427" t="s">
        <v>102</v>
      </c>
      <c r="G134" s="427"/>
      <c r="H134" s="13"/>
      <c r="I134" s="178"/>
    </row>
    <row r="135" spans="1:9">
      <c r="A135" s="436" t="s">
        <v>126</v>
      </c>
      <c r="B135" s="425"/>
      <c r="C135" s="425"/>
      <c r="D135" s="425"/>
      <c r="E135" s="427"/>
      <c r="F135" s="427" t="s">
        <v>102</v>
      </c>
      <c r="G135" s="427"/>
      <c r="H135" s="13"/>
      <c r="I135" s="178"/>
    </row>
    <row r="136" spans="1:9">
      <c r="A136" s="438">
        <v>901</v>
      </c>
      <c r="B136" s="425" t="s">
        <v>169</v>
      </c>
      <c r="C136" s="425"/>
      <c r="D136" s="426">
        <v>438503</v>
      </c>
      <c r="E136" s="427"/>
      <c r="F136" s="427" t="s">
        <v>758</v>
      </c>
      <c r="G136" s="427"/>
      <c r="H136" s="13"/>
      <c r="I136" s="178"/>
    </row>
    <row r="137" spans="1:9">
      <c r="A137" s="438">
        <v>902</v>
      </c>
      <c r="B137" s="425" t="s">
        <v>170</v>
      </c>
      <c r="C137" s="425"/>
      <c r="D137" s="426">
        <v>3101619</v>
      </c>
      <c r="E137" s="427"/>
      <c r="F137" s="427" t="s">
        <v>759</v>
      </c>
      <c r="G137" s="427"/>
      <c r="H137" s="13"/>
      <c r="I137" s="178"/>
    </row>
    <row r="138" spans="1:9">
      <c r="A138" s="438">
        <v>903</v>
      </c>
      <c r="B138" s="425" t="s">
        <v>171</v>
      </c>
      <c r="C138" s="425"/>
      <c r="D138" s="426">
        <v>26815430</v>
      </c>
      <c r="E138" s="427"/>
      <c r="F138" s="427" t="s">
        <v>760</v>
      </c>
      <c r="G138" s="427"/>
      <c r="H138" s="13"/>
      <c r="I138" s="178"/>
    </row>
    <row r="139" spans="1:9">
      <c r="A139" s="438">
        <v>904</v>
      </c>
      <c r="B139" s="425" t="s">
        <v>172</v>
      </c>
      <c r="C139" s="425"/>
      <c r="D139" s="426">
        <v>7061918</v>
      </c>
      <c r="E139" s="427"/>
      <c r="F139" s="427" t="s">
        <v>761</v>
      </c>
      <c r="G139" s="427"/>
      <c r="H139" s="13"/>
      <c r="I139" s="178"/>
    </row>
    <row r="140" spans="1:9">
      <c r="A140" s="438">
        <v>905</v>
      </c>
      <c r="B140" s="425" t="s">
        <v>173</v>
      </c>
      <c r="C140" s="425"/>
      <c r="D140" s="432">
        <v>142853</v>
      </c>
      <c r="E140" s="427"/>
      <c r="F140" s="427" t="s">
        <v>762</v>
      </c>
      <c r="G140" s="427"/>
      <c r="H140" s="13"/>
      <c r="I140" s="178"/>
    </row>
    <row r="141" spans="1:9">
      <c r="A141" s="425"/>
      <c r="B141" s="425" t="s">
        <v>174</v>
      </c>
      <c r="C141" s="425"/>
      <c r="D141" s="425">
        <f>SUM(D136:D140)</f>
        <v>37560323</v>
      </c>
      <c r="E141" s="427"/>
      <c r="F141" s="427" t="s">
        <v>763</v>
      </c>
      <c r="G141" s="427"/>
      <c r="H141" s="13"/>
      <c r="I141" s="178"/>
    </row>
    <row r="142" spans="1:9">
      <c r="A142" s="425"/>
      <c r="B142" s="425"/>
      <c r="C142" s="425"/>
      <c r="D142" s="425"/>
      <c r="E142" s="427"/>
      <c r="F142" s="427" t="s">
        <v>102</v>
      </c>
      <c r="G142" s="427"/>
      <c r="H142" s="13"/>
      <c r="I142" s="178"/>
    </row>
    <row r="143" spans="1:9">
      <c r="A143" s="436" t="s">
        <v>206</v>
      </c>
      <c r="B143" s="425"/>
      <c r="C143" s="425"/>
      <c r="D143" s="425"/>
      <c r="E143" s="427"/>
      <c r="F143" s="427" t="s">
        <v>102</v>
      </c>
      <c r="G143" s="427"/>
      <c r="H143" s="13"/>
      <c r="I143" s="178"/>
    </row>
    <row r="144" spans="1:9">
      <c r="A144" s="438">
        <v>907</v>
      </c>
      <c r="B144" s="425" t="s">
        <v>169</v>
      </c>
      <c r="C144" s="425"/>
      <c r="D144" s="426">
        <v>528900</v>
      </c>
      <c r="E144" s="427"/>
      <c r="F144" s="427" t="s">
        <v>764</v>
      </c>
      <c r="G144" s="427"/>
      <c r="H144" s="13"/>
      <c r="I144" s="178"/>
    </row>
    <row r="145" spans="1:9">
      <c r="A145" s="438">
        <v>908</v>
      </c>
      <c r="B145" s="425" t="s">
        <v>175</v>
      </c>
      <c r="C145" s="425"/>
      <c r="D145" s="426">
        <v>23030929</v>
      </c>
      <c r="E145" s="427"/>
      <c r="F145" s="427" t="s">
        <v>765</v>
      </c>
      <c r="G145" s="427"/>
      <c r="H145" s="13"/>
      <c r="I145" s="178"/>
    </row>
    <row r="146" spans="1:9">
      <c r="A146" s="438">
        <v>909</v>
      </c>
      <c r="B146" s="425" t="s">
        <v>176</v>
      </c>
      <c r="C146" s="425"/>
      <c r="D146" s="426">
        <v>0</v>
      </c>
      <c r="E146" s="427"/>
      <c r="F146" s="427" t="s">
        <v>766</v>
      </c>
      <c r="G146" s="427"/>
      <c r="H146" s="13"/>
      <c r="I146" s="178"/>
    </row>
    <row r="147" spans="1:9">
      <c r="A147" s="438">
        <v>910</v>
      </c>
      <c r="B147" s="425" t="s">
        <v>216</v>
      </c>
      <c r="C147" s="425"/>
      <c r="D147" s="432">
        <v>28287</v>
      </c>
      <c r="E147" s="427"/>
      <c r="F147" s="427" t="s">
        <v>767</v>
      </c>
      <c r="G147" s="427"/>
      <c r="H147" s="13"/>
      <c r="I147" s="178"/>
    </row>
    <row r="148" spans="1:9">
      <c r="A148" s="425"/>
      <c r="B148" s="425" t="s">
        <v>217</v>
      </c>
      <c r="C148" s="425"/>
      <c r="D148" s="425">
        <f>SUM(D144:D147)</f>
        <v>23588116</v>
      </c>
      <c r="E148" s="427"/>
      <c r="F148" s="427" t="s">
        <v>812</v>
      </c>
      <c r="G148" s="427"/>
      <c r="H148" s="13"/>
      <c r="I148" s="178"/>
    </row>
    <row r="149" spans="1:9">
      <c r="A149" s="425"/>
      <c r="B149" s="425"/>
      <c r="C149" s="425"/>
      <c r="D149" s="425"/>
      <c r="E149" s="427"/>
      <c r="F149" s="427" t="s">
        <v>102</v>
      </c>
      <c r="G149" s="427"/>
      <c r="H149" s="13"/>
      <c r="I149" s="178"/>
    </row>
    <row r="150" spans="1:9">
      <c r="A150" s="436" t="s">
        <v>187</v>
      </c>
      <c r="B150" s="425"/>
      <c r="C150" s="425"/>
      <c r="D150" s="425"/>
      <c r="E150" s="427"/>
      <c r="F150" s="427" t="s">
        <v>102</v>
      </c>
      <c r="G150" s="427"/>
      <c r="H150" s="13"/>
      <c r="I150" s="178"/>
    </row>
    <row r="151" spans="1:9">
      <c r="A151" s="438">
        <v>911</v>
      </c>
      <c r="B151" s="425" t="s">
        <v>169</v>
      </c>
      <c r="C151" s="425"/>
      <c r="D151" s="426">
        <v>0</v>
      </c>
      <c r="E151" s="427"/>
      <c r="F151" s="427" t="s">
        <v>768</v>
      </c>
      <c r="G151" s="427"/>
      <c r="H151" s="13"/>
      <c r="I151" s="178"/>
    </row>
    <row r="152" spans="1:9">
      <c r="A152" s="438">
        <v>912</v>
      </c>
      <c r="B152" s="425" t="s">
        <v>177</v>
      </c>
      <c r="C152" s="425"/>
      <c r="D152" s="426">
        <v>117246</v>
      </c>
      <c r="E152" s="427"/>
      <c r="F152" s="427" t="s">
        <v>769</v>
      </c>
      <c r="G152" s="427"/>
      <c r="H152" s="13"/>
      <c r="I152" s="178"/>
    </row>
    <row r="153" spans="1:9">
      <c r="A153" s="438">
        <v>913</v>
      </c>
      <c r="B153" s="425" t="s">
        <v>178</v>
      </c>
      <c r="C153" s="425"/>
      <c r="D153" s="426">
        <v>0</v>
      </c>
      <c r="E153" s="427"/>
      <c r="F153" s="427" t="s">
        <v>770</v>
      </c>
      <c r="G153" s="427"/>
      <c r="H153" s="13"/>
      <c r="I153" s="178"/>
    </row>
    <row r="154" spans="1:9">
      <c r="A154" s="438">
        <v>916</v>
      </c>
      <c r="B154" s="425" t="s">
        <v>218</v>
      </c>
      <c r="C154" s="425"/>
      <c r="D154" s="432">
        <v>0</v>
      </c>
      <c r="E154" s="427"/>
      <c r="F154" s="427" t="s">
        <v>771</v>
      </c>
      <c r="G154" s="427"/>
      <c r="H154" s="13"/>
      <c r="I154" s="178"/>
    </row>
    <row r="155" spans="1:9">
      <c r="A155" s="425"/>
      <c r="B155" s="425" t="s">
        <v>219</v>
      </c>
      <c r="C155" s="425"/>
      <c r="D155" s="425">
        <f>SUM(D151:D154)</f>
        <v>117246</v>
      </c>
      <c r="E155" s="427"/>
      <c r="F155" s="427" t="s">
        <v>772</v>
      </c>
      <c r="G155" s="427"/>
      <c r="H155" s="13"/>
      <c r="I155" s="178"/>
    </row>
    <row r="156" spans="1:9">
      <c r="A156" s="425"/>
      <c r="B156" s="425"/>
      <c r="C156" s="425"/>
      <c r="D156" s="425"/>
      <c r="E156" s="427"/>
      <c r="F156" s="427"/>
      <c r="G156" s="427"/>
      <c r="H156" s="13"/>
      <c r="I156" s="178"/>
    </row>
    <row r="157" spans="1:9">
      <c r="A157" s="427"/>
      <c r="B157" s="427"/>
      <c r="C157" s="427"/>
      <c r="D157" s="427"/>
      <c r="E157" s="435" t="s">
        <v>102</v>
      </c>
      <c r="F157" s="435" t="s">
        <v>102</v>
      </c>
      <c r="G157" s="427" t="s">
        <v>833</v>
      </c>
      <c r="H157" s="13"/>
      <c r="I157" s="178"/>
    </row>
    <row r="158" spans="1:9">
      <c r="A158" s="769" t="s">
        <v>587</v>
      </c>
      <c r="B158" s="710"/>
      <c r="C158" s="710"/>
      <c r="D158" s="710"/>
      <c r="E158" s="710"/>
      <c r="F158" s="710"/>
      <c r="G158" s="710"/>
      <c r="H158" s="13"/>
      <c r="I158" s="178"/>
    </row>
    <row r="159" spans="1:9">
      <c r="A159" s="710" t="s">
        <v>567</v>
      </c>
      <c r="B159" s="710"/>
      <c r="C159" s="710"/>
      <c r="D159" s="710"/>
      <c r="E159" s="710"/>
      <c r="F159" s="710"/>
      <c r="G159" s="710"/>
      <c r="H159" s="13"/>
      <c r="I159" s="178"/>
    </row>
    <row r="160" spans="1:9">
      <c r="A160" s="769" t="s">
        <v>43</v>
      </c>
      <c r="B160" s="710"/>
      <c r="C160" s="710"/>
      <c r="D160" s="710"/>
      <c r="E160" s="710"/>
      <c r="F160" s="710"/>
      <c r="G160" s="710"/>
      <c r="H160" s="13"/>
      <c r="I160" s="178"/>
    </row>
    <row r="161" spans="1:9">
      <c r="A161" s="770" t="str">
        <f>A5</f>
        <v>For the Year Ended December 31, 2023</v>
      </c>
      <c r="B161" s="710"/>
      <c r="C161" s="710"/>
      <c r="D161" s="710"/>
      <c r="E161" s="710"/>
      <c r="F161" s="710"/>
      <c r="G161" s="710"/>
      <c r="H161" s="13"/>
      <c r="I161" s="178"/>
    </row>
    <row r="162" spans="1:9">
      <c r="A162" s="425"/>
      <c r="B162" s="425"/>
      <c r="C162" s="425"/>
      <c r="D162" s="425"/>
      <c r="E162" s="427"/>
      <c r="F162" s="427"/>
      <c r="G162" s="427"/>
      <c r="H162" s="13"/>
      <c r="I162" s="178"/>
    </row>
    <row r="163" spans="1:9">
      <c r="A163" s="436" t="s">
        <v>128</v>
      </c>
      <c r="B163" s="425"/>
      <c r="C163" s="425"/>
      <c r="D163" s="425"/>
      <c r="E163" s="427"/>
      <c r="F163" s="427" t="s">
        <v>102</v>
      </c>
      <c r="G163" s="427"/>
      <c r="H163" s="13"/>
      <c r="I163" s="178"/>
    </row>
    <row r="164" spans="1:9">
      <c r="A164" s="438">
        <v>920</v>
      </c>
      <c r="B164" s="425" t="s">
        <v>179</v>
      </c>
      <c r="C164" s="425"/>
      <c r="D164" s="426">
        <v>45628882</v>
      </c>
      <c r="E164" s="427"/>
      <c r="F164" s="427" t="s">
        <v>773</v>
      </c>
      <c r="G164" s="427"/>
      <c r="H164" s="13"/>
      <c r="I164" s="178"/>
    </row>
    <row r="165" spans="1:9">
      <c r="A165" s="438">
        <v>921</v>
      </c>
      <c r="B165" s="425" t="s">
        <v>180</v>
      </c>
      <c r="C165" s="425"/>
      <c r="D165" s="426">
        <v>2801436</v>
      </c>
      <c r="E165" s="427"/>
      <c r="F165" s="427" t="s">
        <v>774</v>
      </c>
      <c r="G165" s="427"/>
      <c r="H165" s="13"/>
      <c r="I165" s="178"/>
    </row>
    <row r="166" spans="1:9">
      <c r="A166" s="438">
        <v>922</v>
      </c>
      <c r="B166" s="425" t="s">
        <v>220</v>
      </c>
      <c r="C166" s="425"/>
      <c r="D166" s="426">
        <v>7909135</v>
      </c>
      <c r="E166" s="427"/>
      <c r="F166" s="427" t="s">
        <v>775</v>
      </c>
      <c r="G166" s="427"/>
      <c r="H166" s="13"/>
      <c r="I166" s="178"/>
    </row>
    <row r="167" spans="1:9">
      <c r="A167" s="438">
        <v>923</v>
      </c>
      <c r="B167" s="425" t="s">
        <v>181</v>
      </c>
      <c r="C167" s="425"/>
      <c r="D167" s="426">
        <v>5161457</v>
      </c>
      <c r="E167" s="427"/>
      <c r="F167" s="427" t="s">
        <v>776</v>
      </c>
      <c r="G167" s="427"/>
      <c r="H167" s="13"/>
      <c r="I167" s="178"/>
    </row>
    <row r="168" spans="1:9">
      <c r="A168" s="438">
        <v>924</v>
      </c>
      <c r="B168" s="425" t="s">
        <v>182</v>
      </c>
      <c r="C168" s="425"/>
      <c r="D168" s="426">
        <v>5100106</v>
      </c>
      <c r="E168" s="427"/>
      <c r="F168" s="427" t="s">
        <v>777</v>
      </c>
      <c r="G168" s="427"/>
      <c r="H168" s="13"/>
      <c r="I168" s="178"/>
    </row>
    <row r="169" spans="1:9">
      <c r="A169" s="438">
        <v>925</v>
      </c>
      <c r="B169" s="425" t="s">
        <v>183</v>
      </c>
      <c r="C169" s="425"/>
      <c r="D169" s="426">
        <v>-3507486</v>
      </c>
      <c r="E169" s="427"/>
      <c r="F169" s="427" t="s">
        <v>778</v>
      </c>
      <c r="G169" s="427"/>
      <c r="H169" s="13"/>
      <c r="I169" s="178"/>
    </row>
    <row r="170" spans="1:9">
      <c r="A170" s="438">
        <v>926</v>
      </c>
      <c r="B170" s="431" t="s">
        <v>642</v>
      </c>
      <c r="C170" s="425"/>
      <c r="D170" s="426">
        <v>-10421440</v>
      </c>
      <c r="E170" s="427"/>
      <c r="F170" s="427" t="s">
        <v>779</v>
      </c>
      <c r="G170" s="427"/>
      <c r="H170" s="13"/>
      <c r="I170" s="178"/>
    </row>
    <row r="171" spans="1:9">
      <c r="A171" s="438" t="s">
        <v>638</v>
      </c>
      <c r="B171" s="431" t="s">
        <v>641</v>
      </c>
      <c r="C171" s="425"/>
      <c r="D171" s="425">
        <f>D199</f>
        <v>-15475673.27</v>
      </c>
      <c r="E171" s="427"/>
      <c r="F171" s="427" t="s">
        <v>102</v>
      </c>
      <c r="G171" s="427"/>
      <c r="H171" s="13"/>
      <c r="I171" s="178"/>
    </row>
    <row r="172" spans="1:9">
      <c r="A172" s="438" t="s">
        <v>639</v>
      </c>
      <c r="B172" s="431" t="s">
        <v>640</v>
      </c>
      <c r="C172" s="425"/>
      <c r="D172" s="439">
        <f>+D205</f>
        <v>6222780</v>
      </c>
      <c r="E172" s="427"/>
      <c r="F172" s="427" t="s">
        <v>102</v>
      </c>
      <c r="G172" s="427"/>
      <c r="H172" s="13"/>
      <c r="I172" s="178"/>
    </row>
    <row r="173" spans="1:9">
      <c r="A173" s="438">
        <v>926</v>
      </c>
      <c r="B173" s="431" t="s">
        <v>446</v>
      </c>
      <c r="C173" s="425"/>
      <c r="D173" s="425">
        <f>SUM(D170:D172)</f>
        <v>-19674333.27</v>
      </c>
      <c r="E173" s="427"/>
      <c r="F173" s="427" t="s">
        <v>102</v>
      </c>
      <c r="G173" s="427"/>
      <c r="H173" s="13"/>
      <c r="I173" s="178"/>
    </row>
    <row r="174" spans="1:9">
      <c r="A174" s="438">
        <v>927</v>
      </c>
      <c r="B174" s="425" t="s">
        <v>221</v>
      </c>
      <c r="C174" s="425"/>
      <c r="D174" s="426">
        <v>0</v>
      </c>
      <c r="E174" s="427"/>
      <c r="F174" s="427" t="s">
        <v>780</v>
      </c>
      <c r="G174" s="427"/>
      <c r="H174" s="13"/>
      <c r="I174" s="178"/>
    </row>
    <row r="175" spans="1:9">
      <c r="A175" s="438">
        <v>928</v>
      </c>
      <c r="B175" s="425" t="s">
        <v>184</v>
      </c>
      <c r="C175" s="425"/>
      <c r="D175" s="426">
        <v>9914640</v>
      </c>
      <c r="E175" s="440"/>
      <c r="F175" s="427" t="s">
        <v>781</v>
      </c>
      <c r="G175" s="427"/>
      <c r="H175" s="13"/>
      <c r="I175" s="178"/>
    </row>
    <row r="176" spans="1:9">
      <c r="A176" s="438">
        <v>929</v>
      </c>
      <c r="B176" s="425" t="s">
        <v>222</v>
      </c>
      <c r="C176" s="425"/>
      <c r="D176" s="441">
        <v>266616</v>
      </c>
      <c r="E176" s="427"/>
      <c r="F176" s="427" t="s">
        <v>782</v>
      </c>
      <c r="G176" s="427"/>
      <c r="H176" s="13"/>
      <c r="I176" s="178"/>
    </row>
    <row r="177" spans="1:9">
      <c r="A177" s="442">
        <v>930.1</v>
      </c>
      <c r="B177" s="427" t="s">
        <v>185</v>
      </c>
      <c r="C177" s="425"/>
      <c r="D177" s="426">
        <v>535267</v>
      </c>
      <c r="E177" s="443"/>
      <c r="F177" s="427" t="s">
        <v>783</v>
      </c>
      <c r="G177" s="427"/>
      <c r="H177" s="13"/>
      <c r="I177" s="178"/>
    </row>
    <row r="178" spans="1:9">
      <c r="A178" s="442">
        <v>930.2</v>
      </c>
      <c r="B178" s="425" t="s">
        <v>223</v>
      </c>
      <c r="C178" s="425"/>
      <c r="D178" s="426">
        <v>10767506</v>
      </c>
      <c r="E178" s="441"/>
      <c r="F178" s="427" t="s">
        <v>784</v>
      </c>
      <c r="G178" s="427"/>
      <c r="H178" s="13"/>
      <c r="I178" s="178"/>
    </row>
    <row r="179" spans="1:9">
      <c r="A179" s="442">
        <v>930.2</v>
      </c>
      <c r="B179" s="425" t="s">
        <v>224</v>
      </c>
      <c r="C179" s="425"/>
      <c r="D179" s="15">
        <v>0</v>
      </c>
      <c r="E179" s="433"/>
      <c r="F179" s="427" t="s">
        <v>784</v>
      </c>
      <c r="G179" s="427"/>
      <c r="H179" s="13"/>
      <c r="I179" s="178"/>
    </row>
    <row r="180" spans="1:9">
      <c r="A180" s="438">
        <v>931</v>
      </c>
      <c r="B180" s="425" t="s">
        <v>136</v>
      </c>
      <c r="C180" s="425"/>
      <c r="D180" s="432">
        <v>1051347</v>
      </c>
      <c r="E180" s="427"/>
      <c r="F180" s="427" t="s">
        <v>785</v>
      </c>
      <c r="G180" s="427"/>
      <c r="H180" s="13"/>
      <c r="I180" s="178"/>
    </row>
    <row r="181" spans="1:9">
      <c r="A181" s="438" t="s">
        <v>102</v>
      </c>
      <c r="B181" s="425" t="s">
        <v>140</v>
      </c>
      <c r="C181" s="425"/>
      <c r="D181" s="425">
        <f>+D164+D165+D166+D167+D168+D169+D173+D174+D175+D176+D177+D178+D179+D180</f>
        <v>65954572.730000004</v>
      </c>
      <c r="E181" s="425"/>
      <c r="F181" s="427" t="s">
        <v>786</v>
      </c>
      <c r="G181" s="427"/>
      <c r="H181" s="13"/>
      <c r="I181" s="178"/>
    </row>
    <row r="182" spans="1:9">
      <c r="A182" s="438"/>
      <c r="B182" s="427"/>
      <c r="C182" s="427"/>
      <c r="D182" s="441"/>
      <c r="E182" s="427"/>
      <c r="F182" s="427"/>
      <c r="G182" s="427"/>
      <c r="H182" s="13"/>
      <c r="I182" s="178"/>
    </row>
    <row r="183" spans="1:9">
      <c r="A183" s="438"/>
      <c r="B183" s="425"/>
      <c r="C183" s="425"/>
      <c r="D183" s="425"/>
      <c r="E183" s="427"/>
      <c r="F183" s="427" t="s">
        <v>102</v>
      </c>
      <c r="G183" s="427"/>
      <c r="H183" s="13"/>
      <c r="I183" s="178"/>
    </row>
    <row r="184" spans="1:9">
      <c r="A184" s="438">
        <v>935</v>
      </c>
      <c r="B184" s="425" t="s">
        <v>186</v>
      </c>
      <c r="C184" s="425"/>
      <c r="D184" s="432">
        <v>12061842</v>
      </c>
      <c r="E184" s="427"/>
      <c r="F184" s="427" t="s">
        <v>787</v>
      </c>
      <c r="G184" s="427"/>
      <c r="H184" s="13"/>
      <c r="I184" s="178"/>
    </row>
    <row r="185" spans="1:9">
      <c r="A185" s="425"/>
      <c r="B185" s="425" t="s">
        <v>146</v>
      </c>
      <c r="C185" s="425"/>
      <c r="D185" s="425">
        <f>SUM(D184:D184)</f>
        <v>12061842</v>
      </c>
      <c r="E185" s="427"/>
      <c r="F185" s="427" t="s">
        <v>102</v>
      </c>
      <c r="G185" s="427"/>
    </row>
    <row r="186" spans="1:9">
      <c r="A186" s="425"/>
      <c r="B186" s="425"/>
      <c r="C186" s="425"/>
      <c r="D186" s="425"/>
      <c r="E186" s="427"/>
      <c r="F186" s="427" t="s">
        <v>102</v>
      </c>
      <c r="G186" s="427"/>
    </row>
    <row r="187" spans="1:9">
      <c r="A187" s="425"/>
      <c r="B187" s="425" t="s">
        <v>225</v>
      </c>
      <c r="C187" s="425"/>
      <c r="D187" s="439">
        <f>+D181+D185</f>
        <v>78016414.730000004</v>
      </c>
      <c r="E187" s="425"/>
      <c r="F187" s="427" t="s">
        <v>788</v>
      </c>
      <c r="G187" s="427"/>
    </row>
    <row r="188" spans="1:9">
      <c r="A188" s="425"/>
      <c r="B188" s="425"/>
      <c r="C188" s="425"/>
      <c r="D188" s="425"/>
      <c r="E188" s="427"/>
      <c r="F188" s="427" t="s">
        <v>102</v>
      </c>
      <c r="G188" s="427"/>
    </row>
    <row r="189" spans="1:9" ht="13.5" thickBot="1">
      <c r="A189" s="427"/>
      <c r="B189" s="444" t="s">
        <v>226</v>
      </c>
      <c r="C189" s="425"/>
      <c r="D189" s="445">
        <f>+D60+D98+D132+D141+D148+D155+D187+D101</f>
        <v>2396368912.73</v>
      </c>
      <c r="E189" s="433"/>
      <c r="F189" s="427" t="s">
        <v>789</v>
      </c>
      <c r="G189" s="427"/>
    </row>
    <row r="190" spans="1:9" ht="13.5" thickTop="1">
      <c r="A190" s="427"/>
      <c r="B190" s="427"/>
      <c r="C190" s="427"/>
      <c r="D190" s="427" t="s">
        <v>102</v>
      </c>
      <c r="E190" s="427"/>
      <c r="F190" s="427"/>
      <c r="G190" s="427"/>
    </row>
    <row r="191" spans="1:9">
      <c r="A191" s="427"/>
      <c r="B191" s="427"/>
      <c r="C191" s="427"/>
      <c r="D191" s="427"/>
      <c r="E191" s="425"/>
      <c r="F191" s="427"/>
      <c r="G191" s="427"/>
    </row>
    <row r="192" spans="1:9">
      <c r="A192" s="427"/>
      <c r="B192" s="446"/>
      <c r="C192" s="447"/>
      <c r="D192" s="433"/>
      <c r="E192" s="425"/>
      <c r="F192" s="427"/>
      <c r="G192" s="427"/>
    </row>
    <row r="193" spans="1:7">
      <c r="A193" s="427"/>
      <c r="B193" s="427" t="s">
        <v>480</v>
      </c>
      <c r="C193" s="447"/>
      <c r="D193" s="16">
        <v>2389270304</v>
      </c>
      <c r="E193" s="427"/>
      <c r="F193" s="427"/>
      <c r="G193" s="427"/>
    </row>
    <row r="194" spans="1:7">
      <c r="A194" s="427"/>
      <c r="B194" s="427" t="s">
        <v>131</v>
      </c>
      <c r="C194" s="447"/>
      <c r="D194" s="13">
        <f>D193-D189</f>
        <v>-7098608.7300000191</v>
      </c>
      <c r="E194" s="425"/>
      <c r="F194" s="427"/>
      <c r="G194" s="427"/>
    </row>
    <row r="195" spans="1:7">
      <c r="A195" s="427"/>
      <c r="B195" s="427"/>
      <c r="C195" s="427"/>
      <c r="D195" s="427"/>
      <c r="E195" s="427"/>
      <c r="F195" s="427"/>
      <c r="G195" s="427"/>
    </row>
    <row r="196" spans="1:7" ht="14.25">
      <c r="A196" s="459" t="s">
        <v>637</v>
      </c>
      <c r="B196" s="460"/>
      <c r="C196" s="460"/>
      <c r="D196" s="461"/>
      <c r="E196" s="427"/>
      <c r="F196" s="427"/>
      <c r="G196" s="427"/>
    </row>
    <row r="197" spans="1:7">
      <c r="A197" s="462" t="s">
        <v>410</v>
      </c>
      <c r="B197" s="536" t="s">
        <v>1075</v>
      </c>
      <c r="C197" s="450"/>
      <c r="D197" s="463">
        <v>495125.98</v>
      </c>
      <c r="E197" s="427"/>
      <c r="F197" s="427"/>
      <c r="G197" s="427"/>
    </row>
    <row r="198" spans="1:7">
      <c r="A198" s="462"/>
      <c r="B198" s="536" t="s">
        <v>1076</v>
      </c>
      <c r="C198" s="450"/>
      <c r="D198" s="463">
        <v>-15970799.25</v>
      </c>
      <c r="E198" s="427"/>
      <c r="F198" s="427"/>
      <c r="G198" s="427"/>
    </row>
    <row r="199" spans="1:7">
      <c r="A199" s="462"/>
      <c r="B199" s="451" t="s">
        <v>417</v>
      </c>
      <c r="C199" s="450"/>
      <c r="D199" s="464">
        <f>SUM(D197:D198)</f>
        <v>-15475673.27</v>
      </c>
      <c r="E199" s="427"/>
      <c r="F199" s="427"/>
      <c r="G199" s="427"/>
    </row>
    <row r="200" spans="1:7">
      <c r="A200" s="462"/>
      <c r="B200" s="449"/>
      <c r="C200" s="449"/>
      <c r="D200" s="465"/>
      <c r="E200" s="427"/>
      <c r="F200" s="427"/>
      <c r="G200" s="427"/>
    </row>
    <row r="201" spans="1:7">
      <c r="A201" s="466"/>
      <c r="B201" s="467"/>
      <c r="C201" s="467"/>
      <c r="D201" s="468"/>
      <c r="E201" s="427"/>
      <c r="F201" s="427"/>
      <c r="G201" s="427"/>
    </row>
    <row r="202" spans="1:7" ht="14.25">
      <c r="A202" s="458" t="s">
        <v>636</v>
      </c>
      <c r="B202" s="449"/>
      <c r="C202" s="449"/>
      <c r="D202" s="358"/>
      <c r="E202" s="427"/>
      <c r="F202" s="427"/>
      <c r="G202" s="427"/>
    </row>
    <row r="203" spans="1:7">
      <c r="A203" s="631" t="s">
        <v>1073</v>
      </c>
      <c r="B203" s="449" t="s">
        <v>618</v>
      </c>
      <c r="C203" s="450"/>
      <c r="D203" s="709">
        <v>10806289</v>
      </c>
      <c r="E203" s="427"/>
      <c r="F203" s="425"/>
      <c r="G203" s="427"/>
    </row>
    <row r="204" spans="1:7">
      <c r="A204" s="448"/>
      <c r="B204" s="449" t="s">
        <v>416</v>
      </c>
      <c r="C204" s="450"/>
      <c r="D204" s="709">
        <v>-4583509</v>
      </c>
      <c r="E204" s="427"/>
      <c r="F204" s="427"/>
      <c r="G204" s="427"/>
    </row>
    <row r="205" spans="1:7">
      <c r="A205" s="448"/>
      <c r="B205" s="451" t="s">
        <v>643</v>
      </c>
      <c r="C205" s="450"/>
      <c r="D205" s="452">
        <f>SUM(D203:D204)</f>
        <v>6222780</v>
      </c>
      <c r="E205" s="427"/>
      <c r="F205" s="456"/>
      <c r="G205" s="427"/>
    </row>
    <row r="206" spans="1:7" ht="13.5" thickBot="1">
      <c r="A206" s="453"/>
      <c r="B206" s="457" t="s">
        <v>102</v>
      </c>
      <c r="C206" s="454"/>
      <c r="D206" s="455"/>
      <c r="E206" s="427"/>
      <c r="F206" s="427"/>
      <c r="G206" s="427"/>
    </row>
    <row r="207" spans="1:7">
      <c r="A207" s="535" t="s">
        <v>1074</v>
      </c>
      <c r="B207" s="427"/>
      <c r="C207" s="427"/>
      <c r="D207" s="427"/>
      <c r="E207" s="427"/>
      <c r="F207" s="427"/>
      <c r="G207" s="427"/>
    </row>
  </sheetData>
  <mergeCells count="16">
    <mergeCell ref="A158:G158"/>
    <mergeCell ref="A159:G159"/>
    <mergeCell ref="A160:G160"/>
    <mergeCell ref="A161:G161"/>
    <mergeCell ref="A66:G66"/>
    <mergeCell ref="A67:G67"/>
    <mergeCell ref="A116:G116"/>
    <mergeCell ref="A117:G117"/>
    <mergeCell ref="A118:G118"/>
    <mergeCell ref="A119:G119"/>
    <mergeCell ref="A65:G65"/>
    <mergeCell ref="A2:G2"/>
    <mergeCell ref="A3:G3"/>
    <mergeCell ref="A4:G4"/>
    <mergeCell ref="A5:G5"/>
    <mergeCell ref="A64:G64"/>
  </mergeCells>
  <phoneticPr fontId="2" type="noConversion"/>
  <conditionalFormatting sqref="D198">
    <cfRule type="expression" dxfId="5" priority="1" stopIfTrue="1">
      <formula>AND((#REF!&gt;1000000),(#REF!&gt;0.1))</formula>
    </cfRule>
    <cfRule type="expression" dxfId="4" priority="2" stopIfTrue="1">
      <formula>AND((#REF!&lt;-1000000),(#REF!&lt;-0.1))</formula>
    </cfRule>
    <cfRule type="expression" dxfId="3" priority="3" stopIfTrue="1">
      <formula>AND((#REF!&lt;-1000000),(#REF!&gt;0.1))</formula>
    </cfRule>
  </conditionalFormatting>
  <conditionalFormatting sqref="D197">
    <cfRule type="expression" dxfId="2" priority="4" stopIfTrue="1">
      <formula>AND((#REF!&gt;1000000),(#REF!&gt;0.1))</formula>
    </cfRule>
    <cfRule type="expression" dxfId="1" priority="5" stopIfTrue="1">
      <formula>AND((#REF!&lt;-1000000),(#REF!&lt;-0.1))</formula>
    </cfRule>
    <cfRule type="expression" dxfId="0" priority="6" stopIfTrue="1">
      <formula>AND((#REF!&lt;-1000000),(#REF!&gt;0.1))</formula>
    </cfRule>
  </conditionalFormatting>
  <pageMargins left="0.5" right="0.5" top="0.5" bottom="0.5" header="0.5" footer="0.25"/>
  <pageSetup scale="86" orientation="portrait" r:id="rId1"/>
  <headerFooter alignWithMargins="0">
    <oddFooter>&amp;C&amp;A</oddFooter>
  </headerFooter>
  <rowBreaks count="3" manualBreakCount="3">
    <brk id="62" max="16383" man="1"/>
    <brk id="114" max="16383" man="1"/>
    <brk id="15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18"/>
  <sheetViews>
    <sheetView showGridLines="0" view="pageBreakPreview" zoomScale="60" zoomScaleNormal="100" workbookViewId="0">
      <selection activeCell="L21" sqref="L21"/>
    </sheetView>
  </sheetViews>
  <sheetFormatPr defaultColWidth="9.140625" defaultRowHeight="12.75"/>
  <cols>
    <col min="1" max="1" width="9.140625" style="1"/>
    <col min="2" max="2" width="37" style="1" customWidth="1"/>
    <col min="3" max="3" width="3.85546875" style="1" customWidth="1"/>
    <col min="4" max="4" width="13.42578125" style="1" customWidth="1"/>
    <col min="5" max="5" width="5.5703125" style="1" customWidth="1"/>
    <col min="6" max="6" width="15.42578125" style="1" customWidth="1"/>
    <col min="7" max="7" width="12.85546875" style="1" customWidth="1"/>
    <col min="8" max="8" width="9.140625" style="1"/>
    <col min="9" max="9" width="12.5703125" style="1" customWidth="1"/>
    <col min="10" max="16384" width="9.140625" style="1"/>
  </cols>
  <sheetData>
    <row r="1" spans="1:10">
      <c r="A1" s="1" t="s">
        <v>102</v>
      </c>
      <c r="J1" s="284" t="s">
        <v>102</v>
      </c>
    </row>
    <row r="2" spans="1:10">
      <c r="B2" s="714" t="s">
        <v>587</v>
      </c>
      <c r="C2" s="714"/>
      <c r="D2" s="714"/>
      <c r="E2" s="714"/>
      <c r="F2" s="715"/>
      <c r="G2" s="715"/>
      <c r="H2" s="715"/>
      <c r="I2" s="1" t="s">
        <v>102</v>
      </c>
      <c r="J2" s="284" t="s">
        <v>102</v>
      </c>
    </row>
    <row r="3" spans="1:10">
      <c r="B3" s="719" t="s">
        <v>567</v>
      </c>
      <c r="C3" s="719"/>
      <c r="D3" s="719"/>
      <c r="E3" s="719"/>
      <c r="F3" s="719"/>
      <c r="G3" s="719"/>
      <c r="H3" s="719"/>
    </row>
    <row r="4" spans="1:10">
      <c r="B4" s="716" t="s">
        <v>570</v>
      </c>
      <c r="C4" s="716"/>
      <c r="D4" s="716"/>
      <c r="E4" s="716"/>
      <c r="F4" s="716"/>
      <c r="G4" s="716"/>
      <c r="H4" s="717"/>
    </row>
    <row r="5" spans="1:10">
      <c r="B5" s="718" t="s">
        <v>1182</v>
      </c>
      <c r="C5" s="716"/>
      <c r="D5" s="716"/>
      <c r="E5" s="716"/>
      <c r="F5" s="716"/>
      <c r="G5" s="716"/>
      <c r="H5" s="717"/>
    </row>
    <row r="10" spans="1:10">
      <c r="D10" s="713" t="s">
        <v>94</v>
      </c>
      <c r="E10" s="713"/>
      <c r="F10" s="713"/>
      <c r="G10" s="713"/>
    </row>
    <row r="11" spans="1:10" ht="14.25">
      <c r="D11" s="310" t="s">
        <v>92</v>
      </c>
      <c r="F11" s="310" t="s">
        <v>95</v>
      </c>
      <c r="G11" s="310" t="s">
        <v>96</v>
      </c>
      <c r="H11" s="205" t="s">
        <v>266</v>
      </c>
    </row>
    <row r="12" spans="1:10">
      <c r="B12" s="1" t="s">
        <v>102</v>
      </c>
      <c r="D12" s="4">
        <f>SUM(F12:G12)</f>
        <v>0</v>
      </c>
      <c r="F12" s="5">
        <v>0</v>
      </c>
      <c r="G12" s="5">
        <v>0</v>
      </c>
      <c r="H12" s="107" t="s">
        <v>267</v>
      </c>
    </row>
    <row r="13" spans="1:10">
      <c r="B13" s="1" t="s">
        <v>92</v>
      </c>
      <c r="D13" s="6">
        <f>SUM(D12:D12)</f>
        <v>0</v>
      </c>
      <c r="F13" s="6">
        <f>SUM(F12:F12)</f>
        <v>0</v>
      </c>
      <c r="G13" s="6">
        <f>SUM(G12:G12)</f>
        <v>0</v>
      </c>
    </row>
    <row r="14" spans="1:10">
      <c r="D14" s="6"/>
      <c r="E14" s="6"/>
      <c r="F14" s="6"/>
    </row>
    <row r="16" spans="1:10">
      <c r="B16" s="193" t="s">
        <v>268</v>
      </c>
    </row>
    <row r="17" spans="2:10">
      <c r="B17"/>
      <c r="C17"/>
      <c r="D17"/>
      <c r="E17"/>
      <c r="F17"/>
      <c r="G17"/>
      <c r="H17"/>
      <c r="I17"/>
      <c r="J17"/>
    </row>
    <row r="18" spans="2:10" ht="14.25">
      <c r="B18" s="195" t="s">
        <v>269</v>
      </c>
    </row>
  </sheetData>
  <mergeCells count="5">
    <mergeCell ref="D10:G10"/>
    <mergeCell ref="B2:H2"/>
    <mergeCell ref="B4:H4"/>
    <mergeCell ref="B5:H5"/>
    <mergeCell ref="B3:H3"/>
  </mergeCells>
  <phoneticPr fontId="2" type="noConversion"/>
  <pageMargins left="0.5" right="0.5" top="0.5" bottom="0.5" header="0.5" footer="0.25"/>
  <pageSetup scale="76" orientation="portrait" r:id="rId1"/>
  <headerFooter alignWithMargins="0">
    <oddFooter>&amp;C&amp;A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G70"/>
  <sheetViews>
    <sheetView showGridLines="0" view="pageBreakPreview" zoomScaleNormal="100" zoomScaleSheetLayoutView="100" workbookViewId="0">
      <selection activeCell="C44" sqref="C44"/>
    </sheetView>
  </sheetViews>
  <sheetFormatPr defaultColWidth="11" defaultRowHeight="12.75"/>
  <cols>
    <col min="1" max="1" width="15.5703125" style="7" customWidth="1"/>
    <col min="2" max="3" width="16.85546875" style="7" customWidth="1"/>
    <col min="4" max="4" width="19.42578125" style="7" customWidth="1"/>
    <col min="5" max="5" width="16.5703125" style="7" customWidth="1"/>
    <col min="6" max="6" width="11.5703125" style="7" customWidth="1"/>
    <col min="7" max="7" width="15.42578125" style="7" customWidth="1"/>
    <col min="8" max="16384" width="11" style="7"/>
  </cols>
  <sheetData>
    <row r="1" spans="1:7">
      <c r="A1" s="427"/>
      <c r="B1" s="427"/>
      <c r="C1" s="427"/>
      <c r="D1" s="427"/>
      <c r="E1" s="427"/>
      <c r="F1" s="435" t="s">
        <v>102</v>
      </c>
      <c r="G1" s="427"/>
    </row>
    <row r="2" spans="1:7">
      <c r="A2" s="771" t="s">
        <v>587</v>
      </c>
      <c r="B2" s="771"/>
      <c r="C2" s="771"/>
      <c r="D2" s="771"/>
      <c r="E2" s="771"/>
      <c r="F2" s="710"/>
      <c r="G2" s="710"/>
    </row>
    <row r="3" spans="1:7">
      <c r="A3" s="710" t="s">
        <v>567</v>
      </c>
      <c r="B3" s="710"/>
      <c r="C3" s="710"/>
      <c r="D3" s="710"/>
      <c r="E3" s="710"/>
      <c r="F3" s="710"/>
      <c r="G3" s="710"/>
    </row>
    <row r="4" spans="1:7">
      <c r="A4" s="772" t="s">
        <v>44</v>
      </c>
      <c r="B4" s="772"/>
      <c r="C4" s="772"/>
      <c r="D4" s="772"/>
      <c r="E4" s="772"/>
      <c r="F4" s="710"/>
      <c r="G4" s="710"/>
    </row>
    <row r="5" spans="1:7">
      <c r="A5" s="773" t="s">
        <v>1176</v>
      </c>
      <c r="B5" s="773"/>
      <c r="C5" s="773"/>
      <c r="D5" s="773"/>
      <c r="E5" s="773"/>
      <c r="F5" s="710"/>
      <c r="G5" s="710"/>
    </row>
    <row r="6" spans="1:7">
      <c r="A6" s="427"/>
      <c r="B6" s="427"/>
      <c r="C6" s="427"/>
      <c r="D6" s="427"/>
      <c r="E6" s="427"/>
      <c r="F6" s="427"/>
      <c r="G6" s="427"/>
    </row>
    <row r="7" spans="1:7">
      <c r="A7" s="427"/>
      <c r="B7" s="427"/>
      <c r="C7" s="427"/>
      <c r="D7" s="427"/>
      <c r="E7" s="427"/>
      <c r="F7" s="427"/>
      <c r="G7" s="427"/>
    </row>
    <row r="8" spans="1:7">
      <c r="A8" s="427"/>
      <c r="B8" s="427"/>
      <c r="C8" s="427"/>
      <c r="D8" s="467" t="s">
        <v>646</v>
      </c>
      <c r="E8" s="531" t="s">
        <v>283</v>
      </c>
      <c r="F8" s="427"/>
      <c r="G8" s="427"/>
    </row>
    <row r="9" spans="1:7">
      <c r="A9" s="532"/>
      <c r="B9" s="427"/>
      <c r="C9" s="427"/>
      <c r="D9" s="427"/>
      <c r="E9" s="427"/>
      <c r="F9" s="427"/>
      <c r="G9" s="427"/>
    </row>
    <row r="10" spans="1:7" ht="15">
      <c r="A10" s="533" t="s">
        <v>93</v>
      </c>
      <c r="B10" s="427"/>
      <c r="C10" s="427"/>
      <c r="D10" s="427"/>
      <c r="E10" s="534" t="s">
        <v>102</v>
      </c>
      <c r="F10" s="427"/>
      <c r="G10" s="427"/>
    </row>
    <row r="11" spans="1:7">
      <c r="A11" s="532"/>
      <c r="B11" s="427"/>
      <c r="C11" s="427"/>
      <c r="D11" s="427"/>
      <c r="E11" s="14"/>
      <c r="F11" s="427"/>
      <c r="G11" s="427"/>
    </row>
    <row r="12" spans="1:7">
      <c r="A12" s="532" t="s">
        <v>1202</v>
      </c>
      <c r="B12" s="427"/>
      <c r="C12" s="427"/>
      <c r="D12" s="535" t="s">
        <v>1114</v>
      </c>
      <c r="E12" s="14">
        <v>67810</v>
      </c>
      <c r="F12" s="427"/>
      <c r="G12" s="427"/>
    </row>
    <row r="13" spans="1:7">
      <c r="A13" s="537" t="s">
        <v>954</v>
      </c>
      <c r="B13" s="427"/>
      <c r="C13" s="427"/>
      <c r="D13" s="535" t="s">
        <v>1114</v>
      </c>
      <c r="E13" s="14">
        <v>137201</v>
      </c>
      <c r="F13" s="427"/>
      <c r="G13" s="427"/>
    </row>
    <row r="14" spans="1:7">
      <c r="A14" s="537" t="s">
        <v>1163</v>
      </c>
      <c r="B14" s="427"/>
      <c r="C14" s="427"/>
      <c r="D14" s="535" t="s">
        <v>1114</v>
      </c>
      <c r="E14" s="14">
        <v>124733</v>
      </c>
      <c r="F14" s="427"/>
      <c r="G14" s="427"/>
    </row>
    <row r="15" spans="1:7">
      <c r="A15" s="537" t="s">
        <v>1203</v>
      </c>
      <c r="B15" s="427"/>
      <c r="C15" s="427"/>
      <c r="D15" s="535" t="s">
        <v>1114</v>
      </c>
      <c r="E15" s="14">
        <v>31684</v>
      </c>
      <c r="F15" s="427"/>
      <c r="G15" s="427"/>
    </row>
    <row r="16" spans="1:7">
      <c r="A16" s="537" t="s">
        <v>1150</v>
      </c>
      <c r="B16" s="427"/>
      <c r="C16" s="427"/>
      <c r="D16" s="535" t="s">
        <v>1114</v>
      </c>
      <c r="E16" s="14">
        <v>4580983</v>
      </c>
      <c r="F16" s="427"/>
      <c r="G16" s="427"/>
    </row>
    <row r="17" spans="1:7">
      <c r="A17" s="537" t="s">
        <v>1146</v>
      </c>
      <c r="B17" s="427"/>
      <c r="C17" s="427"/>
      <c r="D17" s="535" t="s">
        <v>1114</v>
      </c>
      <c r="E17" s="14">
        <v>141305</v>
      </c>
      <c r="F17" s="427"/>
      <c r="G17" s="427"/>
    </row>
    <row r="18" spans="1:7">
      <c r="A18" s="537" t="s">
        <v>1164</v>
      </c>
      <c r="B18" s="427"/>
      <c r="C18" s="427"/>
      <c r="D18" s="535" t="s">
        <v>1114</v>
      </c>
      <c r="E18" s="14">
        <v>0</v>
      </c>
      <c r="F18" s="427"/>
      <c r="G18" s="427"/>
    </row>
    <row r="19" spans="1:7" ht="13.5" customHeight="1">
      <c r="A19" s="537" t="s">
        <v>1165</v>
      </c>
      <c r="B19" s="427"/>
      <c r="C19" s="427"/>
      <c r="D19" s="535" t="s">
        <v>1114</v>
      </c>
      <c r="E19" s="14">
        <v>32401</v>
      </c>
      <c r="F19" s="427"/>
      <c r="G19" s="427"/>
    </row>
    <row r="20" spans="1:7">
      <c r="A20" s="537" t="s">
        <v>1149</v>
      </c>
      <c r="B20" s="427"/>
      <c r="C20" s="427"/>
      <c r="D20" s="535" t="s">
        <v>1114</v>
      </c>
      <c r="E20" s="14">
        <v>28602</v>
      </c>
      <c r="F20" s="427"/>
      <c r="G20" s="427"/>
    </row>
    <row r="21" spans="1:7">
      <c r="A21" s="537" t="s">
        <v>1204</v>
      </c>
      <c r="B21" s="427"/>
      <c r="C21" s="427"/>
      <c r="D21" s="535" t="s">
        <v>1114</v>
      </c>
      <c r="E21" s="14">
        <v>50976</v>
      </c>
      <c r="F21" s="427"/>
      <c r="G21" s="427"/>
    </row>
    <row r="22" spans="1:7">
      <c r="A22" s="537" t="s">
        <v>1148</v>
      </c>
      <c r="B22" s="427"/>
      <c r="C22" s="427"/>
      <c r="D22" s="535" t="s">
        <v>1114</v>
      </c>
      <c r="E22" s="14">
        <v>1181121</v>
      </c>
      <c r="F22" s="427"/>
      <c r="G22" s="427"/>
    </row>
    <row r="23" spans="1:7">
      <c r="A23" s="537" t="s">
        <v>1166</v>
      </c>
      <c r="B23" s="427"/>
      <c r="C23" s="427"/>
      <c r="D23" s="535" t="s">
        <v>1114</v>
      </c>
      <c r="E23" s="14">
        <v>55848</v>
      </c>
      <c r="F23" s="427"/>
      <c r="G23" s="427"/>
    </row>
    <row r="24" spans="1:7">
      <c r="A24" s="537" t="s">
        <v>1147</v>
      </c>
      <c r="B24" s="427"/>
      <c r="C24" s="427"/>
      <c r="D24" s="535" t="s">
        <v>1114</v>
      </c>
      <c r="E24" s="14">
        <v>548721</v>
      </c>
      <c r="F24" s="427"/>
      <c r="G24" s="427"/>
    </row>
    <row r="25" spans="1:7">
      <c r="A25" s="537" t="s">
        <v>1167</v>
      </c>
      <c r="B25" s="427"/>
      <c r="C25" s="427"/>
      <c r="D25" s="535" t="s">
        <v>1114</v>
      </c>
      <c r="E25" s="14">
        <v>79021</v>
      </c>
      <c r="F25" s="427"/>
      <c r="G25" s="427"/>
    </row>
    <row r="26" spans="1:7">
      <c r="A26" s="537" t="s">
        <v>1168</v>
      </c>
      <c r="B26" s="427"/>
      <c r="C26" s="427"/>
      <c r="D26" s="535" t="s">
        <v>1114</v>
      </c>
      <c r="E26" s="20">
        <v>158792</v>
      </c>
      <c r="F26" s="427"/>
      <c r="G26" s="427"/>
    </row>
    <row r="27" spans="1:7">
      <c r="A27" s="537" t="s">
        <v>1144</v>
      </c>
      <c r="B27" s="427"/>
      <c r="C27" s="427"/>
      <c r="D27" s="535" t="s">
        <v>1114</v>
      </c>
      <c r="E27" s="20">
        <v>0</v>
      </c>
      <c r="F27" s="427"/>
      <c r="G27" s="427"/>
    </row>
    <row r="28" spans="1:7">
      <c r="A28" s="537" t="s">
        <v>1113</v>
      </c>
      <c r="B28" s="427"/>
      <c r="C28" s="427"/>
      <c r="D28" s="535" t="s">
        <v>1114</v>
      </c>
      <c r="E28" s="20">
        <v>0</v>
      </c>
      <c r="F28" s="427"/>
      <c r="G28" s="427"/>
    </row>
    <row r="29" spans="1:7">
      <c r="A29" s="537" t="s">
        <v>1169</v>
      </c>
      <c r="B29" s="427"/>
      <c r="C29" s="427"/>
      <c r="D29" s="535" t="s">
        <v>1114</v>
      </c>
      <c r="E29" s="20">
        <v>0</v>
      </c>
      <c r="F29" s="427"/>
      <c r="G29" s="427"/>
    </row>
    <row r="30" spans="1:7">
      <c r="A30" s="537" t="s">
        <v>1145</v>
      </c>
      <c r="B30" s="427"/>
      <c r="C30" s="427"/>
      <c r="D30" s="535" t="s">
        <v>1114</v>
      </c>
      <c r="E30" s="20">
        <v>265479</v>
      </c>
      <c r="F30" s="427"/>
      <c r="G30" s="427"/>
    </row>
    <row r="31" spans="1:7">
      <c r="A31" s="537" t="s">
        <v>1205</v>
      </c>
      <c r="B31" s="427"/>
      <c r="C31" s="427"/>
      <c r="D31" s="535" t="s">
        <v>1114</v>
      </c>
      <c r="E31" s="20">
        <v>72809</v>
      </c>
      <c r="F31" s="427"/>
      <c r="G31" s="427"/>
    </row>
    <row r="32" spans="1:7">
      <c r="A32" s="537"/>
      <c r="B32" s="427"/>
      <c r="C32" s="427"/>
      <c r="D32" s="535"/>
      <c r="E32" s="20"/>
      <c r="F32" s="427"/>
      <c r="G32" s="427"/>
    </row>
    <row r="33" spans="1:7">
      <c r="A33" s="537"/>
      <c r="B33" s="427"/>
      <c r="C33" s="427"/>
      <c r="D33" s="535"/>
      <c r="E33" s="20"/>
      <c r="F33" s="427"/>
      <c r="G33" s="427"/>
    </row>
    <row r="34" spans="1:7">
      <c r="A34" s="537"/>
      <c r="B34" s="427"/>
      <c r="C34" s="427"/>
      <c r="D34" s="535"/>
      <c r="E34" s="20"/>
      <c r="F34" s="427"/>
      <c r="G34" s="427"/>
    </row>
    <row r="35" spans="1:7">
      <c r="A35" s="537"/>
      <c r="B35" s="427"/>
      <c r="C35" s="427"/>
      <c r="D35" s="535"/>
      <c r="E35" s="20"/>
      <c r="F35" s="427"/>
      <c r="G35" s="427"/>
    </row>
    <row r="36" spans="1:7">
      <c r="A36" s="537"/>
      <c r="B36" s="427"/>
      <c r="C36" s="427"/>
      <c r="D36" s="535"/>
      <c r="E36" s="20"/>
      <c r="F36" s="427"/>
      <c r="G36" s="427"/>
    </row>
    <row r="37" spans="1:7">
      <c r="A37" s="537"/>
      <c r="B37" s="427"/>
      <c r="C37" s="427"/>
      <c r="D37" s="535"/>
      <c r="E37" s="20"/>
      <c r="F37" s="427"/>
      <c r="G37" s="427"/>
    </row>
    <row r="38" spans="1:7">
      <c r="A38" s="537"/>
      <c r="B38" s="427"/>
      <c r="C38" s="427"/>
      <c r="D38" s="535"/>
      <c r="E38" s="20"/>
      <c r="F38" s="427"/>
      <c r="G38" s="427"/>
    </row>
    <row r="39" spans="1:7">
      <c r="A39" s="537" t="s">
        <v>1148</v>
      </c>
      <c r="B39" s="427"/>
      <c r="C39" s="427"/>
      <c r="D39" s="535" t="s">
        <v>1114</v>
      </c>
      <c r="E39" s="690"/>
      <c r="F39" s="427"/>
      <c r="G39" s="427"/>
    </row>
    <row r="40" spans="1:7" ht="13.5" customHeight="1">
      <c r="A40" s="539" t="s">
        <v>655</v>
      </c>
      <c r="B40" s="427"/>
      <c r="C40" s="427"/>
      <c r="D40" s="427"/>
      <c r="E40" s="14">
        <f>SUM(E12:E39)</f>
        <v>7557486</v>
      </c>
      <c r="F40" s="425">
        <f>E40-7467896</f>
        <v>89590</v>
      </c>
      <c r="G40" s="427"/>
    </row>
    <row r="41" spans="1:7">
      <c r="A41" s="532"/>
      <c r="B41" s="427"/>
      <c r="C41" s="427"/>
      <c r="D41" s="427"/>
      <c r="E41" s="12"/>
      <c r="F41" s="427"/>
      <c r="G41" s="427"/>
    </row>
    <row r="42" spans="1:7" ht="17.25">
      <c r="A42" s="533" t="s">
        <v>791</v>
      </c>
      <c r="B42" s="427"/>
      <c r="C42" s="427"/>
      <c r="D42" s="427"/>
      <c r="E42" s="17" t="s">
        <v>102</v>
      </c>
      <c r="F42" s="427"/>
      <c r="G42" s="427"/>
    </row>
    <row r="43" spans="1:7" ht="15">
      <c r="A43" s="533"/>
      <c r="B43" s="427"/>
      <c r="C43" s="427"/>
      <c r="D43" s="427"/>
      <c r="E43" s="17"/>
      <c r="F43" s="427"/>
      <c r="G43" s="427"/>
    </row>
    <row r="44" spans="1:7">
      <c r="A44" s="427" t="s">
        <v>648</v>
      </c>
      <c r="B44" s="427"/>
      <c r="C44" s="427"/>
      <c r="D44" s="535" t="s">
        <v>1114</v>
      </c>
      <c r="E44" s="14">
        <v>1617244</v>
      </c>
      <c r="F44" s="427"/>
      <c r="G44" s="427"/>
    </row>
    <row r="45" spans="1:7">
      <c r="A45" s="427" t="s">
        <v>647</v>
      </c>
      <c r="B45" s="427"/>
      <c r="C45" s="427"/>
      <c r="D45" s="535" t="s">
        <v>1114</v>
      </c>
      <c r="E45" s="14">
        <v>106704</v>
      </c>
      <c r="F45" s="427"/>
      <c r="G45" s="427"/>
    </row>
    <row r="46" spans="1:7">
      <c r="A46" s="427" t="s">
        <v>649</v>
      </c>
      <c r="B46" s="427"/>
      <c r="C46" s="427"/>
      <c r="D46" s="535" t="s">
        <v>1114</v>
      </c>
      <c r="E46" s="14">
        <v>234702</v>
      </c>
      <c r="F46" s="427"/>
      <c r="G46" s="427"/>
    </row>
    <row r="47" spans="1:7">
      <c r="A47" s="427" t="s">
        <v>650</v>
      </c>
      <c r="B47" s="427"/>
      <c r="C47" s="427"/>
      <c r="D47" s="535" t="s">
        <v>1114</v>
      </c>
      <c r="E47" s="14">
        <v>99054</v>
      </c>
      <c r="F47" s="427"/>
      <c r="G47" s="427"/>
    </row>
    <row r="48" spans="1:7">
      <c r="A48" s="427" t="s">
        <v>651</v>
      </c>
      <c r="B48" s="427"/>
      <c r="C48" s="427"/>
      <c r="D48" s="535" t="s">
        <v>1114</v>
      </c>
      <c r="E48" s="14">
        <v>98929</v>
      </c>
      <c r="F48" s="427"/>
      <c r="G48" s="427"/>
    </row>
    <row r="49" spans="1:7">
      <c r="A49" s="427" t="s">
        <v>652</v>
      </c>
      <c r="B49" s="427"/>
      <c r="C49" s="427"/>
      <c r="D49" s="535" t="s">
        <v>1114</v>
      </c>
      <c r="E49" s="14">
        <v>75319</v>
      </c>
      <c r="F49" s="427"/>
      <c r="G49" s="427"/>
    </row>
    <row r="50" spans="1:7" ht="13.5" thickBot="1">
      <c r="A50" s="427" t="s">
        <v>653</v>
      </c>
      <c r="B50" s="427"/>
      <c r="C50" s="427"/>
      <c r="D50" s="535" t="s">
        <v>1114</v>
      </c>
      <c r="E50" s="691">
        <v>7717</v>
      </c>
      <c r="F50" s="427"/>
      <c r="G50" s="427"/>
    </row>
    <row r="51" spans="1:7">
      <c r="A51" s="539" t="s">
        <v>654</v>
      </c>
      <c r="B51" s="427"/>
      <c r="C51" s="427"/>
      <c r="D51" s="427"/>
      <c r="E51" s="14">
        <f>SUM(E44:E50)</f>
        <v>2239669</v>
      </c>
      <c r="F51" s="427"/>
      <c r="G51" s="427"/>
    </row>
    <row r="52" spans="1:7">
      <c r="A52" s="539"/>
      <c r="B52" s="427"/>
      <c r="C52" s="427"/>
      <c r="D52" s="427"/>
      <c r="E52" s="14"/>
      <c r="F52" s="427"/>
      <c r="G52" s="427"/>
    </row>
    <row r="53" spans="1:7">
      <c r="A53" s="539" t="s">
        <v>1018</v>
      </c>
      <c r="B53" s="427"/>
      <c r="C53" s="427"/>
      <c r="D53" s="535" t="s">
        <v>1114</v>
      </c>
      <c r="E53" s="14">
        <v>117485</v>
      </c>
      <c r="F53" s="427"/>
      <c r="G53" s="427"/>
    </row>
    <row r="54" spans="1:7">
      <c r="A54" s="427" t="s">
        <v>998</v>
      </c>
      <c r="B54" s="427"/>
      <c r="C54" s="427"/>
      <c r="D54" s="535" t="s">
        <v>1114</v>
      </c>
      <c r="E54" s="14">
        <v>0</v>
      </c>
      <c r="F54" s="427"/>
      <c r="G54" s="427"/>
    </row>
    <row r="55" spans="1:7" ht="13.5" thickBot="1">
      <c r="A55" s="427" t="s">
        <v>999</v>
      </c>
      <c r="B55" s="427"/>
      <c r="C55" s="427"/>
      <c r="D55" s="535" t="s">
        <v>1114</v>
      </c>
      <c r="E55" s="608">
        <v>0</v>
      </c>
      <c r="F55" s="427"/>
      <c r="G55" s="427"/>
    </row>
    <row r="56" spans="1:7">
      <c r="A56" s="558" t="s">
        <v>1000</v>
      </c>
      <c r="B56" s="427"/>
      <c r="C56" s="427"/>
      <c r="D56" s="427"/>
      <c r="E56" s="534">
        <f>SUM(E53:E55)</f>
        <v>117485</v>
      </c>
      <c r="F56" s="427"/>
      <c r="G56" s="427"/>
    </row>
    <row r="57" spans="1:7">
      <c r="A57" s="558"/>
      <c r="B57" s="427"/>
      <c r="C57" s="427"/>
      <c r="D57" s="427"/>
      <c r="E57" s="534"/>
      <c r="F57" s="427"/>
      <c r="G57" s="427"/>
    </row>
    <row r="58" spans="1:7">
      <c r="A58" s="535" t="s">
        <v>790</v>
      </c>
      <c r="B58" s="427"/>
      <c r="C58" s="427"/>
      <c r="D58" s="427"/>
      <c r="E58" s="534">
        <f>+E40+E51+E56</f>
        <v>9914640</v>
      </c>
      <c r="F58" s="427"/>
      <c r="G58" s="427"/>
    </row>
    <row r="59" spans="1:7">
      <c r="A59" s="427"/>
      <c r="B59" s="427"/>
      <c r="C59" s="427"/>
      <c r="D59" s="427"/>
      <c r="E59" s="538"/>
      <c r="F59" s="427"/>
      <c r="G59" s="427"/>
    </row>
    <row r="60" spans="1:7" ht="14.25">
      <c r="A60" s="427" t="s">
        <v>792</v>
      </c>
      <c r="B60" s="427"/>
      <c r="C60" s="427"/>
      <c r="D60" s="427"/>
      <c r="E60" s="427"/>
      <c r="F60" s="427"/>
      <c r="G60" s="427"/>
    </row>
    <row r="61" spans="1:7">
      <c r="A61" s="540"/>
      <c r="B61" s="427"/>
      <c r="C61" s="427"/>
      <c r="D61" s="427"/>
      <c r="E61" s="427"/>
      <c r="F61" s="427"/>
      <c r="G61" s="427"/>
    </row>
    <row r="62" spans="1:7" ht="14.25">
      <c r="A62" s="541"/>
      <c r="B62" s="427"/>
      <c r="C62" s="427"/>
      <c r="D62" s="427"/>
      <c r="E62" s="427"/>
      <c r="F62" s="427"/>
      <c r="G62" s="427"/>
    </row>
    <row r="63" spans="1:7">
      <c r="A63" s="427"/>
      <c r="B63" s="427"/>
      <c r="C63" s="427"/>
      <c r="D63" s="427"/>
      <c r="E63" s="427"/>
      <c r="F63" s="427"/>
      <c r="G63" s="427"/>
    </row>
    <row r="70" spans="1:4">
      <c r="A70" s="285" t="s">
        <v>102</v>
      </c>
      <c r="B70" s="285"/>
      <c r="C70" s="285"/>
      <c r="D70" s="285"/>
    </row>
  </sheetData>
  <mergeCells count="4">
    <mergeCell ref="A2:G2"/>
    <mergeCell ref="A4:G4"/>
    <mergeCell ref="A5:G5"/>
    <mergeCell ref="A3:G3"/>
  </mergeCells>
  <phoneticPr fontId="2" type="noConversion"/>
  <pageMargins left="0.5" right="0.5" top="0.5" bottom="0.5" header="0.5" footer="0.25"/>
  <pageSetup scale="86" orientation="portrait" r:id="rId1"/>
  <headerFooter alignWithMargins="0">
    <oddFooter>&amp;C&amp;A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A73"/>
  <sheetViews>
    <sheetView showGridLines="0" view="pageBreakPreview" zoomScaleNormal="100" zoomScaleSheetLayoutView="100" workbookViewId="0">
      <pane xSplit="2" topLeftCell="C1" activePane="topRight" state="frozen"/>
      <selection activeCell="P12" sqref="P12"/>
      <selection pane="topRight" activeCell="C11" sqref="C11"/>
    </sheetView>
  </sheetViews>
  <sheetFormatPr defaultColWidth="11" defaultRowHeight="12.75"/>
  <cols>
    <col min="1" max="1" width="4.85546875" style="7" bestFit="1" customWidth="1"/>
    <col min="2" max="2" width="14" style="7" customWidth="1"/>
    <col min="3" max="3" width="15" style="7" customWidth="1"/>
    <col min="4" max="4" width="17.85546875" style="7" customWidth="1"/>
    <col min="5" max="5" width="6.5703125" style="7" bestFit="1" customWidth="1"/>
    <col min="6" max="6" width="20.85546875" style="7" customWidth="1"/>
    <col min="7" max="7" width="15.42578125" style="7" bestFit="1" customWidth="1"/>
    <col min="8" max="8" width="16.42578125" style="7" bestFit="1" customWidth="1"/>
    <col min="9" max="9" width="12.5703125" style="7" bestFit="1" customWidth="1"/>
    <col min="10" max="10" width="8.5703125" style="7" bestFit="1" customWidth="1"/>
    <col min="11" max="11" width="12.85546875" style="7" bestFit="1" customWidth="1"/>
    <col min="12" max="12" width="8.5703125" style="7" bestFit="1" customWidth="1"/>
    <col min="13" max="13" width="17.85546875" style="7" customWidth="1"/>
    <col min="14" max="17" width="14" style="7" bestFit="1" customWidth="1"/>
    <col min="18" max="18" width="13.42578125" style="7" bestFit="1" customWidth="1"/>
    <col min="19" max="16384" width="11" style="7"/>
  </cols>
  <sheetData>
    <row r="1" spans="1:18">
      <c r="M1" s="206" t="s">
        <v>102</v>
      </c>
    </row>
    <row r="2" spans="1:18">
      <c r="B2" s="765" t="s">
        <v>587</v>
      </c>
      <c r="C2" s="715"/>
      <c r="D2" s="715"/>
      <c r="E2" s="715"/>
      <c r="F2" s="715"/>
      <c r="G2" s="715"/>
      <c r="H2" s="715"/>
      <c r="I2" s="715"/>
      <c r="J2" s="715"/>
      <c r="K2" s="715"/>
      <c r="L2" s="715"/>
      <c r="M2" s="715"/>
    </row>
    <row r="3" spans="1:18">
      <c r="B3" s="725" t="s">
        <v>567</v>
      </c>
      <c r="C3" s="715"/>
      <c r="D3" s="715"/>
      <c r="E3" s="715"/>
      <c r="F3" s="715"/>
      <c r="G3" s="715"/>
      <c r="H3" s="715"/>
      <c r="I3" s="715"/>
      <c r="J3" s="715"/>
      <c r="K3" s="715"/>
      <c r="L3" s="715"/>
      <c r="M3" s="715"/>
    </row>
    <row r="4" spans="1:18">
      <c r="B4" s="765" t="s">
        <v>45</v>
      </c>
      <c r="C4" s="715"/>
      <c r="D4" s="715"/>
      <c r="E4" s="715"/>
      <c r="F4" s="715"/>
      <c r="G4" s="715"/>
      <c r="H4" s="715"/>
      <c r="I4" s="715"/>
      <c r="J4" s="715"/>
      <c r="K4" s="715"/>
      <c r="L4" s="715"/>
      <c r="M4" s="715"/>
    </row>
    <row r="5" spans="1:18">
      <c r="B5" s="776" t="s">
        <v>1182</v>
      </c>
      <c r="C5" s="715"/>
      <c r="D5" s="715"/>
      <c r="E5" s="715"/>
      <c r="F5" s="715"/>
      <c r="G5" s="715"/>
      <c r="H5" s="715"/>
      <c r="I5" s="715"/>
      <c r="J5" s="715"/>
      <c r="K5" s="715"/>
      <c r="L5" s="715"/>
      <c r="M5" s="715"/>
    </row>
    <row r="6" spans="1:18">
      <c r="D6" s="8"/>
    </row>
    <row r="7" spans="1:18">
      <c r="C7" s="75"/>
      <c r="D7" s="212"/>
      <c r="E7" s="774" t="s">
        <v>289</v>
      </c>
      <c r="F7" s="775"/>
      <c r="G7" s="775"/>
      <c r="H7" s="775"/>
      <c r="I7" s="213"/>
      <c r="J7" s="213"/>
      <c r="K7" s="213"/>
      <c r="L7" s="214"/>
      <c r="M7" s="57" t="s">
        <v>189</v>
      </c>
      <c r="N7" s="21"/>
    </row>
    <row r="8" spans="1:18">
      <c r="A8" s="9" t="s">
        <v>118</v>
      </c>
      <c r="C8" s="76" t="s">
        <v>92</v>
      </c>
      <c r="D8" s="76"/>
      <c r="E8" s="77"/>
      <c r="F8" s="215" t="s">
        <v>382</v>
      </c>
      <c r="G8" s="77"/>
      <c r="H8" s="216"/>
      <c r="I8" s="76" t="s">
        <v>299</v>
      </c>
      <c r="J8" s="76"/>
      <c r="K8" s="76" t="s">
        <v>300</v>
      </c>
      <c r="L8" s="76"/>
      <c r="M8" s="58" t="s">
        <v>301</v>
      </c>
      <c r="N8" s="44"/>
      <c r="O8" s="21"/>
      <c r="P8" s="21"/>
      <c r="Q8" s="44"/>
    </row>
    <row r="9" spans="1:18">
      <c r="A9" s="140" t="s">
        <v>602</v>
      </c>
      <c r="B9" s="78" t="s">
        <v>97</v>
      </c>
      <c r="C9" s="79" t="s">
        <v>302</v>
      </c>
      <c r="D9" s="79" t="s">
        <v>371</v>
      </c>
      <c r="E9" s="79" t="s">
        <v>384</v>
      </c>
      <c r="F9" s="79" t="s">
        <v>383</v>
      </c>
      <c r="G9" s="79" t="s">
        <v>381</v>
      </c>
      <c r="H9" s="217" t="s">
        <v>379</v>
      </c>
      <c r="I9" s="79" t="s">
        <v>303</v>
      </c>
      <c r="J9" s="79" t="s">
        <v>346</v>
      </c>
      <c r="K9" s="79" t="s">
        <v>304</v>
      </c>
      <c r="L9" s="79" t="s">
        <v>346</v>
      </c>
      <c r="M9" s="59" t="s">
        <v>227</v>
      </c>
      <c r="N9" s="60"/>
      <c r="O9" s="60"/>
      <c r="P9" s="60"/>
      <c r="Q9" s="60"/>
    </row>
    <row r="10" spans="1:18">
      <c r="B10" s="78"/>
      <c r="C10" s="218" t="s">
        <v>373</v>
      </c>
      <c r="D10" s="219"/>
      <c r="E10" s="218" t="s">
        <v>374</v>
      </c>
      <c r="F10" s="222" t="s">
        <v>375</v>
      </c>
      <c r="G10" s="222" t="s">
        <v>376</v>
      </c>
      <c r="H10" s="219"/>
      <c r="I10" s="218" t="s">
        <v>377</v>
      </c>
      <c r="J10" s="219"/>
      <c r="K10" s="218" t="s">
        <v>370</v>
      </c>
      <c r="L10" s="219"/>
      <c r="M10" s="220" t="s">
        <v>385</v>
      </c>
      <c r="N10" s="60"/>
      <c r="O10" s="60"/>
      <c r="P10" s="60"/>
      <c r="Q10" s="60"/>
    </row>
    <row r="11" spans="1:18">
      <c r="A11" s="9">
        <v>1</v>
      </c>
      <c r="B11" s="161">
        <v>45261</v>
      </c>
      <c r="C11" s="14">
        <f>F59</f>
        <v>5276801715.1179991</v>
      </c>
      <c r="D11" s="221" t="s">
        <v>372</v>
      </c>
      <c r="E11" s="14">
        <f>$F$22</f>
        <v>0</v>
      </c>
      <c r="F11" s="12">
        <v>0</v>
      </c>
      <c r="G11" s="12">
        <v>0</v>
      </c>
      <c r="H11" s="221" t="s">
        <v>380</v>
      </c>
      <c r="I11" s="14">
        <f>$F$46</f>
        <v>-3463212.63</v>
      </c>
      <c r="J11" s="221" t="s">
        <v>378</v>
      </c>
      <c r="K11" s="14">
        <f>$F$56</f>
        <v>-3846853.0499999993</v>
      </c>
      <c r="L11" s="221" t="s">
        <v>635</v>
      </c>
      <c r="M11" s="16">
        <f>+C11-E11-F11-G11-I11-K11</f>
        <v>5284111780.7979994</v>
      </c>
      <c r="N11" s="61"/>
      <c r="O11" s="63"/>
      <c r="P11" s="62"/>
      <c r="Q11" s="15"/>
      <c r="R11" s="31"/>
    </row>
    <row r="12" spans="1:18">
      <c r="A12" s="9"/>
      <c r="C12" s="10"/>
      <c r="D12" s="10"/>
      <c r="E12" s="21"/>
      <c r="F12" s="21"/>
      <c r="G12" s="21"/>
      <c r="H12" s="21"/>
      <c r="I12" s="21"/>
    </row>
    <row r="13" spans="1:18">
      <c r="A13" s="9"/>
      <c r="C13" s="10"/>
      <c r="D13" s="10"/>
      <c r="E13" s="10"/>
      <c r="F13" s="10"/>
      <c r="G13" s="10"/>
      <c r="H13" s="21"/>
      <c r="I13" s="21"/>
      <c r="J13" s="21"/>
      <c r="K13" s="21"/>
      <c r="L13" s="21"/>
    </row>
    <row r="14" spans="1:18">
      <c r="A14" s="9"/>
      <c r="C14" s="10" t="s">
        <v>398</v>
      </c>
      <c r="D14" s="10"/>
      <c r="E14" s="10"/>
      <c r="F14" s="10"/>
      <c r="G14" s="10"/>
      <c r="H14" s="32"/>
      <c r="I14" s="32"/>
    </row>
    <row r="15" spans="1:18">
      <c r="A15" s="9"/>
      <c r="H15" s="32"/>
      <c r="I15" s="32"/>
    </row>
    <row r="16" spans="1:18">
      <c r="A16" s="9"/>
    </row>
    <row r="17" spans="1:19">
      <c r="A17" s="9"/>
    </row>
    <row r="18" spans="1:19" s="165" customFormat="1">
      <c r="A18" s="375"/>
      <c r="B18" s="149" t="s">
        <v>106</v>
      </c>
      <c r="C18" s="162" t="s">
        <v>103</v>
      </c>
      <c r="D18" s="163"/>
      <c r="E18"/>
      <c r="F18" s="164">
        <v>45261</v>
      </c>
      <c r="G18"/>
      <c r="H18"/>
      <c r="I18"/>
      <c r="J18"/>
      <c r="K18"/>
      <c r="L18"/>
      <c r="M18"/>
      <c r="N18"/>
      <c r="O18"/>
      <c r="P18"/>
      <c r="S18" s="163"/>
    </row>
    <row r="19" spans="1:19" s="165" customFormat="1">
      <c r="A19" s="375">
        <v>2</v>
      </c>
      <c r="B19" s="142" t="s">
        <v>305</v>
      </c>
      <c r="C19" s="142" t="s">
        <v>306</v>
      </c>
      <c r="D19" s="64"/>
      <c r="E19"/>
      <c r="F19" s="143">
        <v>260457768</v>
      </c>
      <c r="G19"/>
      <c r="H19"/>
      <c r="I19"/>
      <c r="J19"/>
      <c r="K19"/>
      <c r="L19"/>
      <c r="M19"/>
      <c r="N19"/>
      <c r="O19"/>
      <c r="P19"/>
      <c r="S19" s="64"/>
    </row>
    <row r="20" spans="1:19" s="165" customFormat="1" ht="13.5">
      <c r="A20" s="375"/>
      <c r="B20" s="142"/>
      <c r="C20" s="142"/>
      <c r="D20" s="166" t="s">
        <v>307</v>
      </c>
      <c r="E20"/>
      <c r="F20" s="167" t="s">
        <v>308</v>
      </c>
      <c r="G20"/>
      <c r="H20"/>
      <c r="I20"/>
      <c r="J20"/>
      <c r="K20"/>
      <c r="L20"/>
      <c r="M20"/>
      <c r="N20"/>
      <c r="O20"/>
      <c r="P20"/>
      <c r="S20" s="64"/>
    </row>
    <row r="21" spans="1:19" s="165" customFormat="1">
      <c r="A21" s="375"/>
      <c r="B21" s="142"/>
      <c r="C21" s="142"/>
      <c r="D21" s="64"/>
      <c r="E21"/>
      <c r="F21" s="145"/>
      <c r="G21"/>
      <c r="H21"/>
      <c r="I21"/>
      <c r="J21"/>
      <c r="K21"/>
      <c r="L21"/>
      <c r="M21"/>
      <c r="N21"/>
      <c r="O21"/>
      <c r="P21"/>
      <c r="S21" s="64"/>
    </row>
    <row r="22" spans="1:19" s="165" customFormat="1">
      <c r="A22" s="375">
        <v>3</v>
      </c>
      <c r="B22" s="142" t="s">
        <v>309</v>
      </c>
      <c r="C22" s="142" t="s">
        <v>310</v>
      </c>
      <c r="D22" s="64"/>
      <c r="E22"/>
      <c r="F22" s="143">
        <v>0</v>
      </c>
      <c r="G22"/>
      <c r="H22"/>
      <c r="I22"/>
      <c r="J22"/>
      <c r="K22"/>
      <c r="L22"/>
      <c r="M22"/>
      <c r="N22"/>
      <c r="O22"/>
      <c r="P22"/>
      <c r="S22" s="64"/>
    </row>
    <row r="23" spans="1:19" s="165" customFormat="1" ht="13.5">
      <c r="A23" s="375"/>
      <c r="B23" s="142"/>
      <c r="C23" s="142"/>
      <c r="D23" s="166" t="s">
        <v>307</v>
      </c>
      <c r="E23"/>
      <c r="F23" s="167" t="s">
        <v>287</v>
      </c>
      <c r="G23"/>
      <c r="H23"/>
      <c r="I23"/>
      <c r="J23"/>
      <c r="K23"/>
      <c r="L23"/>
      <c r="M23"/>
      <c r="N23"/>
      <c r="O23"/>
      <c r="P23"/>
      <c r="S23" s="64"/>
    </row>
    <row r="24" spans="1:19" s="165" customFormat="1">
      <c r="A24" s="375"/>
      <c r="B24" s="142"/>
      <c r="C24" s="142"/>
      <c r="D24" s="64"/>
      <c r="E24"/>
      <c r="F24" s="145"/>
      <c r="G24"/>
      <c r="H24"/>
      <c r="I24"/>
      <c r="J24"/>
      <c r="K24"/>
      <c r="L24"/>
      <c r="M24"/>
      <c r="N24"/>
      <c r="O24"/>
      <c r="P24"/>
      <c r="S24" s="64"/>
    </row>
    <row r="25" spans="1:19" s="165" customFormat="1">
      <c r="A25" s="375">
        <v>4</v>
      </c>
      <c r="B25" s="250">
        <v>2070000</v>
      </c>
      <c r="C25" s="142" t="s">
        <v>563</v>
      </c>
      <c r="D25" s="64"/>
      <c r="E25"/>
      <c r="F25" s="143">
        <v>0</v>
      </c>
      <c r="G25"/>
      <c r="H25"/>
      <c r="I25"/>
      <c r="J25"/>
      <c r="K25"/>
      <c r="L25"/>
      <c r="M25"/>
      <c r="N25"/>
      <c r="O25"/>
      <c r="P25"/>
      <c r="S25" s="64"/>
    </row>
    <row r="26" spans="1:19" s="165" customFormat="1" ht="13.5">
      <c r="A26" s="375"/>
      <c r="B26" s="142"/>
      <c r="C26" s="142"/>
      <c r="D26" s="166" t="s">
        <v>307</v>
      </c>
      <c r="E26"/>
      <c r="F26" s="167" t="s">
        <v>292</v>
      </c>
      <c r="G26"/>
      <c r="H26"/>
      <c r="I26"/>
      <c r="J26"/>
      <c r="K26"/>
      <c r="L26"/>
      <c r="M26"/>
      <c r="N26"/>
      <c r="O26"/>
      <c r="P26"/>
      <c r="S26" s="64"/>
    </row>
    <row r="27" spans="1:19" s="165" customFormat="1">
      <c r="A27" s="375"/>
      <c r="B27" s="142"/>
      <c r="C27" s="142"/>
      <c r="D27" s="64"/>
      <c r="E27"/>
      <c r="F27" s="145"/>
      <c r="G27"/>
      <c r="H27"/>
      <c r="I27"/>
      <c r="J27"/>
      <c r="K27"/>
      <c r="L27"/>
      <c r="M27"/>
      <c r="N27"/>
      <c r="O27"/>
      <c r="P27"/>
      <c r="S27" s="64"/>
    </row>
    <row r="28" spans="1:19" s="165" customFormat="1" ht="14.25">
      <c r="A28" s="375">
        <v>5</v>
      </c>
      <c r="B28" s="142" t="s">
        <v>311</v>
      </c>
      <c r="C28" s="142" t="s">
        <v>312</v>
      </c>
      <c r="D28" s="64"/>
      <c r="E28" s="381" t="s">
        <v>849</v>
      </c>
      <c r="F28" s="476">
        <v>1825984502.6600001</v>
      </c>
      <c r="G28"/>
      <c r="H28"/>
      <c r="I28"/>
      <c r="J28"/>
      <c r="K28"/>
      <c r="L28"/>
      <c r="M28"/>
      <c r="N28"/>
      <c r="O28"/>
      <c r="P28"/>
      <c r="S28" s="64"/>
    </row>
    <row r="29" spans="1:19" s="165" customFormat="1" ht="14.25">
      <c r="A29" s="375">
        <v>6</v>
      </c>
      <c r="B29" s="250">
        <v>2100000</v>
      </c>
      <c r="C29" s="142" t="s">
        <v>66</v>
      </c>
      <c r="D29" s="64"/>
      <c r="E29" s="381" t="s">
        <v>849</v>
      </c>
      <c r="F29" s="476">
        <v>432.59000000000003</v>
      </c>
      <c r="G29"/>
      <c r="H29"/>
      <c r="I29"/>
      <c r="J29"/>
      <c r="K29"/>
      <c r="L29"/>
      <c r="M29"/>
      <c r="N29"/>
      <c r="O29"/>
      <c r="P29"/>
      <c r="S29" s="64"/>
    </row>
    <row r="30" spans="1:19" s="165" customFormat="1" ht="14.25">
      <c r="A30" s="375">
        <v>7</v>
      </c>
      <c r="B30" s="250">
        <v>2110000</v>
      </c>
      <c r="C30" s="142" t="s">
        <v>313</v>
      </c>
      <c r="D30" s="64"/>
      <c r="E30" s="381" t="s">
        <v>849</v>
      </c>
      <c r="F30" s="477">
        <v>8548840.2469999995</v>
      </c>
      <c r="G30"/>
      <c r="H30"/>
      <c r="I30"/>
      <c r="J30"/>
      <c r="K30"/>
      <c r="L30"/>
      <c r="M30"/>
      <c r="N30"/>
      <c r="O30"/>
      <c r="P30"/>
      <c r="S30" s="64"/>
    </row>
    <row r="31" spans="1:19" s="165" customFormat="1">
      <c r="A31" s="375">
        <v>8</v>
      </c>
      <c r="B31" s="142"/>
      <c r="C31" s="142" t="s">
        <v>102</v>
      </c>
      <c r="D31" s="64"/>
      <c r="E31" s="381" t="s">
        <v>102</v>
      </c>
      <c r="F31" s="145">
        <f>SUM(F28:F30)</f>
        <v>1834533775.497</v>
      </c>
      <c r="G31"/>
      <c r="H31"/>
      <c r="I31"/>
      <c r="J31"/>
      <c r="K31"/>
      <c r="L31"/>
      <c r="M31"/>
      <c r="N31"/>
      <c r="O31"/>
      <c r="P31"/>
      <c r="S31" s="64"/>
    </row>
    <row r="32" spans="1:19" s="165" customFormat="1" ht="13.5">
      <c r="A32" s="375"/>
      <c r="B32" s="142"/>
      <c r="C32" s="142"/>
      <c r="D32" s="166" t="s">
        <v>307</v>
      </c>
      <c r="E32" s="381" t="s">
        <v>102</v>
      </c>
      <c r="F32" s="167" t="s">
        <v>314</v>
      </c>
      <c r="G32" s="243"/>
      <c r="H32"/>
      <c r="I32"/>
      <c r="J32"/>
      <c r="K32"/>
      <c r="L32"/>
      <c r="M32"/>
      <c r="N32"/>
      <c r="O32"/>
      <c r="P32"/>
      <c r="S32" s="64"/>
    </row>
    <row r="33" spans="1:50" s="165" customFormat="1">
      <c r="A33" s="375"/>
      <c r="B33" s="142"/>
      <c r="C33" s="142"/>
      <c r="D33" s="166"/>
      <c r="E33" s="381" t="s">
        <v>102</v>
      </c>
      <c r="F33" s="167"/>
      <c r="G33"/>
      <c r="H33"/>
      <c r="I33"/>
      <c r="J33"/>
      <c r="K33"/>
      <c r="L33"/>
      <c r="M33"/>
      <c r="N33"/>
      <c r="O33"/>
      <c r="P33"/>
      <c r="S33" s="64"/>
    </row>
    <row r="34" spans="1:50" s="165" customFormat="1" ht="14.25">
      <c r="A34" s="375">
        <v>9</v>
      </c>
      <c r="B34" s="252">
        <v>2151000</v>
      </c>
      <c r="C34" s="142" t="s">
        <v>67</v>
      </c>
      <c r="D34" s="64"/>
      <c r="E34" s="381" t="s">
        <v>849</v>
      </c>
      <c r="F34" s="476">
        <v>19648740</v>
      </c>
      <c r="G34"/>
      <c r="H34"/>
      <c r="I34"/>
      <c r="J34"/>
      <c r="K34"/>
      <c r="L34"/>
      <c r="M34"/>
      <c r="N34"/>
      <c r="O34"/>
      <c r="P34"/>
      <c r="S34" s="64"/>
    </row>
    <row r="35" spans="1:50" s="165" customFormat="1" ht="14.25">
      <c r="A35" s="375">
        <v>10</v>
      </c>
      <c r="B35" s="142" t="s">
        <v>315</v>
      </c>
      <c r="C35" s="142" t="s">
        <v>316</v>
      </c>
      <c r="D35" s="64"/>
      <c r="E35" s="381" t="s">
        <v>849</v>
      </c>
      <c r="F35" s="143">
        <v>2875047792.5199995</v>
      </c>
      <c r="G35"/>
      <c r="H35"/>
      <c r="I35"/>
      <c r="J35"/>
      <c r="K35"/>
      <c r="L35"/>
      <c r="M35"/>
      <c r="N35"/>
      <c r="O35"/>
      <c r="P35"/>
      <c r="S35" s="64"/>
    </row>
    <row r="36" spans="1:50" s="165" customFormat="1" ht="14.25">
      <c r="A36" s="375">
        <v>11</v>
      </c>
      <c r="B36" s="251">
        <v>4330000</v>
      </c>
      <c r="C36" s="142" t="s">
        <v>69</v>
      </c>
      <c r="D36" s="64"/>
      <c r="E36" s="687" t="s">
        <v>849</v>
      </c>
      <c r="F36" s="143">
        <v>294423704.78099978</v>
      </c>
      <c r="G36" s="395"/>
      <c r="H36"/>
      <c r="I36"/>
      <c r="J36"/>
      <c r="K36"/>
      <c r="L36"/>
      <c r="M36"/>
      <c r="N36"/>
      <c r="O36"/>
      <c r="P36"/>
      <c r="S36" s="64"/>
    </row>
    <row r="37" spans="1:50" s="165" customFormat="1" ht="14.25">
      <c r="A37" s="375">
        <v>12</v>
      </c>
      <c r="B37" s="142" t="s">
        <v>317</v>
      </c>
      <c r="C37" s="142" t="s">
        <v>318</v>
      </c>
      <c r="D37" s="64"/>
      <c r="E37" s="381" t="s">
        <v>849</v>
      </c>
      <c r="F37" s="143">
        <v>0</v>
      </c>
      <c r="G37" s="396"/>
      <c r="H37"/>
      <c r="I37"/>
      <c r="J37"/>
      <c r="K37"/>
      <c r="L37"/>
      <c r="M37"/>
      <c r="N37"/>
      <c r="O37"/>
      <c r="P37"/>
      <c r="S37" s="64"/>
    </row>
    <row r="38" spans="1:50" s="165" customFormat="1" ht="14.25">
      <c r="A38" s="375">
        <v>13</v>
      </c>
      <c r="B38" s="251">
        <v>4380001</v>
      </c>
      <c r="C38" s="142" t="s">
        <v>68</v>
      </c>
      <c r="D38" s="64"/>
      <c r="E38" s="381" t="s">
        <v>849</v>
      </c>
      <c r="F38" s="143">
        <v>0</v>
      </c>
      <c r="G38"/>
      <c r="H38"/>
      <c r="I38"/>
      <c r="J38"/>
      <c r="K38"/>
      <c r="L38"/>
      <c r="M38"/>
      <c r="N38"/>
      <c r="O38"/>
      <c r="P38"/>
      <c r="S38" s="64"/>
    </row>
    <row r="39" spans="1:50" s="165" customFormat="1" ht="14.25">
      <c r="A39" s="375">
        <v>14</v>
      </c>
      <c r="B39" s="142" t="s">
        <v>319</v>
      </c>
      <c r="C39" s="142" t="s">
        <v>320</v>
      </c>
      <c r="D39" s="64"/>
      <c r="E39" s="687" t="s">
        <v>849</v>
      </c>
      <c r="F39" s="694">
        <v>0</v>
      </c>
      <c r="G39"/>
      <c r="H39"/>
      <c r="I39"/>
      <c r="J39"/>
      <c r="K39"/>
      <c r="L39"/>
      <c r="M39"/>
      <c r="N39"/>
      <c r="O39"/>
      <c r="P39"/>
      <c r="S39" s="64"/>
    </row>
    <row r="40" spans="1:50" s="165" customFormat="1">
      <c r="A40" s="375">
        <v>15</v>
      </c>
      <c r="B40" s="142"/>
      <c r="C40" s="142" t="s">
        <v>321</v>
      </c>
      <c r="D40" s="64"/>
      <c r="E40" s="381" t="s">
        <v>102</v>
      </c>
      <c r="F40" s="145">
        <f>SUM(F34:F39)</f>
        <v>3189120237.3009992</v>
      </c>
      <c r="G40" s="508"/>
      <c r="H40" s="605" t="s">
        <v>102</v>
      </c>
      <c r="I40"/>
      <c r="J40"/>
      <c r="K40"/>
      <c r="L40"/>
      <c r="M40"/>
      <c r="N40"/>
      <c r="O40"/>
      <c r="P40"/>
      <c r="S40" s="64"/>
    </row>
    <row r="41" spans="1:50" s="165" customFormat="1" ht="13.5">
      <c r="A41" s="375"/>
      <c r="B41" s="142"/>
      <c r="C41" s="142"/>
      <c r="D41" s="166" t="s">
        <v>307</v>
      </c>
      <c r="E41" s="381" t="s">
        <v>102</v>
      </c>
      <c r="F41" s="167" t="s">
        <v>322</v>
      </c>
      <c r="G41"/>
      <c r="H41"/>
      <c r="I41"/>
      <c r="J41"/>
      <c r="K41"/>
      <c r="L41"/>
      <c r="M41"/>
      <c r="N41"/>
      <c r="O41"/>
      <c r="P41"/>
      <c r="S41" s="64"/>
    </row>
    <row r="42" spans="1:50" s="165" customFormat="1">
      <c r="A42" s="375"/>
      <c r="B42" s="142"/>
      <c r="C42" s="142"/>
      <c r="D42" s="64"/>
      <c r="E42" s="381" t="s">
        <v>102</v>
      </c>
      <c r="F42" s="145"/>
      <c r="G42"/>
      <c r="H42"/>
      <c r="I42"/>
      <c r="J42"/>
      <c r="K42"/>
      <c r="L42"/>
      <c r="M42"/>
      <c r="N42"/>
      <c r="O42"/>
      <c r="P42"/>
      <c r="S42" s="64"/>
    </row>
    <row r="43" spans="1:50" s="165" customFormat="1" ht="14.25">
      <c r="A43" s="375">
        <v>16</v>
      </c>
      <c r="B43" s="142" t="s">
        <v>323</v>
      </c>
      <c r="C43" s="142" t="s">
        <v>324</v>
      </c>
      <c r="D43" s="64"/>
      <c r="E43" s="381" t="s">
        <v>849</v>
      </c>
      <c r="F43" s="476">
        <v>-3463212.63</v>
      </c>
      <c r="G43"/>
      <c r="H43"/>
      <c r="I43"/>
      <c r="J43"/>
      <c r="K43"/>
      <c r="L43"/>
      <c r="M43"/>
      <c r="N43"/>
      <c r="O43"/>
      <c r="P43"/>
      <c r="S43" s="64"/>
    </row>
    <row r="44" spans="1:50" s="165" customFormat="1" ht="14.25">
      <c r="A44" s="375">
        <v>17</v>
      </c>
      <c r="B44" s="142" t="s">
        <v>325</v>
      </c>
      <c r="C44" s="142" t="s">
        <v>326</v>
      </c>
      <c r="D44" s="64"/>
      <c r="E44" s="381" t="s">
        <v>849</v>
      </c>
      <c r="F44" s="476">
        <v>0</v>
      </c>
      <c r="G44"/>
      <c r="H44"/>
      <c r="I44"/>
      <c r="J44"/>
      <c r="K44"/>
      <c r="L44"/>
      <c r="M44"/>
      <c r="N44"/>
      <c r="O44"/>
      <c r="P44"/>
      <c r="S44" s="64"/>
    </row>
    <row r="45" spans="1:50" ht="14.25">
      <c r="A45" s="376">
        <v>18</v>
      </c>
      <c r="B45" s="138" t="s">
        <v>344</v>
      </c>
      <c r="C45" s="7" t="s">
        <v>327</v>
      </c>
      <c r="E45" s="381" t="s">
        <v>849</v>
      </c>
      <c r="F45" s="509">
        <v>0</v>
      </c>
      <c r="G45"/>
      <c r="H45"/>
      <c r="I45"/>
      <c r="J45"/>
      <c r="K45"/>
      <c r="L45"/>
      <c r="M45"/>
      <c r="N45"/>
      <c r="O45"/>
      <c r="P45"/>
      <c r="R45" s="65"/>
    </row>
    <row r="46" spans="1:50" ht="14.25">
      <c r="A46" s="376">
        <v>19</v>
      </c>
      <c r="B46" s="138"/>
      <c r="C46" s="142" t="s">
        <v>328</v>
      </c>
      <c r="E46" s="381" t="s">
        <v>849</v>
      </c>
      <c r="F46" s="37">
        <f>SUM(F43:F45)</f>
        <v>-3463212.63</v>
      </c>
      <c r="G46"/>
      <c r="H46"/>
      <c r="I46"/>
      <c r="J46"/>
      <c r="K46"/>
      <c r="L46"/>
      <c r="M46"/>
      <c r="N46"/>
      <c r="O46"/>
      <c r="P46"/>
    </row>
    <row r="47" spans="1:50" ht="13.5">
      <c r="A47" s="9"/>
      <c r="B47" s="138"/>
      <c r="C47" s="142"/>
      <c r="D47" s="166" t="s">
        <v>307</v>
      </c>
      <c r="E47" s="381" t="s">
        <v>102</v>
      </c>
      <c r="F47" s="167" t="s">
        <v>329</v>
      </c>
      <c r="G47"/>
      <c r="H47"/>
      <c r="I47"/>
      <c r="J47"/>
      <c r="K47"/>
      <c r="L47"/>
      <c r="M47"/>
      <c r="N47"/>
      <c r="O47"/>
      <c r="P47"/>
    </row>
    <row r="48" spans="1:50" s="165" customFormat="1" ht="12.75" customHeight="1">
      <c r="A48" s="375"/>
      <c r="B48" s="168"/>
      <c r="C48" s="169"/>
      <c r="D48" s="64"/>
      <c r="E48" s="381" t="s">
        <v>102</v>
      </c>
      <c r="F48" s="145"/>
      <c r="G48"/>
      <c r="H48"/>
      <c r="I48"/>
      <c r="J48"/>
      <c r="K48"/>
      <c r="L48"/>
      <c r="M48"/>
      <c r="N48"/>
      <c r="O48"/>
      <c r="P48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</row>
    <row r="49" spans="1:53" s="165" customFormat="1" ht="12.75" customHeight="1">
      <c r="A49" s="375">
        <v>20</v>
      </c>
      <c r="B49" s="286">
        <v>2190002</v>
      </c>
      <c r="C49" s="142" t="s">
        <v>547</v>
      </c>
      <c r="D49" s="64"/>
      <c r="E49" s="381" t="s">
        <v>849</v>
      </c>
      <c r="F49" s="476">
        <v>2062372.42</v>
      </c>
      <c r="G49"/>
      <c r="H49"/>
      <c r="I49"/>
      <c r="J49"/>
      <c r="K49"/>
      <c r="L49"/>
      <c r="M49"/>
      <c r="N49"/>
      <c r="O49"/>
      <c r="P49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</row>
    <row r="50" spans="1:53" s="165" customFormat="1" ht="14.25">
      <c r="A50" s="375">
        <v>21</v>
      </c>
      <c r="B50" s="142" t="s">
        <v>330</v>
      </c>
      <c r="C50" s="142" t="s">
        <v>331</v>
      </c>
      <c r="D50" s="64"/>
      <c r="E50" s="381" t="s">
        <v>849</v>
      </c>
      <c r="F50" s="476"/>
      <c r="G50"/>
      <c r="H50"/>
      <c r="I50"/>
      <c r="J50"/>
      <c r="K50"/>
      <c r="L50"/>
      <c r="M50"/>
      <c r="N50"/>
      <c r="O50"/>
      <c r="P50"/>
      <c r="S50" s="64"/>
    </row>
    <row r="51" spans="1:53" s="165" customFormat="1" ht="14.25">
      <c r="A51" s="375">
        <v>22</v>
      </c>
      <c r="B51" s="142" t="s">
        <v>332</v>
      </c>
      <c r="C51" s="142" t="s">
        <v>333</v>
      </c>
      <c r="D51" s="64"/>
      <c r="E51" s="381" t="s">
        <v>849</v>
      </c>
      <c r="F51" s="476">
        <v>0</v>
      </c>
      <c r="G51"/>
      <c r="H51"/>
      <c r="I51"/>
      <c r="J51"/>
      <c r="K51"/>
      <c r="L51"/>
      <c r="M51"/>
      <c r="N51"/>
      <c r="O51"/>
      <c r="P51"/>
      <c r="S51" s="64"/>
    </row>
    <row r="52" spans="1:53" s="165" customFormat="1" ht="14.25">
      <c r="A52" s="375">
        <v>23</v>
      </c>
      <c r="B52" s="142" t="s">
        <v>334</v>
      </c>
      <c r="C52" s="142" t="s">
        <v>335</v>
      </c>
      <c r="D52" s="64"/>
      <c r="E52" s="381" t="s">
        <v>849</v>
      </c>
      <c r="F52" s="476">
        <v>-11679330.689999999</v>
      </c>
      <c r="G52"/>
      <c r="H52"/>
      <c r="I52"/>
      <c r="J52"/>
      <c r="K52"/>
      <c r="L52"/>
      <c r="M52"/>
      <c r="N52"/>
      <c r="O52"/>
      <c r="P52"/>
      <c r="S52" s="64"/>
    </row>
    <row r="53" spans="1:53" s="165" customFormat="1" ht="14.25">
      <c r="A53" s="375">
        <v>24</v>
      </c>
      <c r="B53" s="251">
        <v>2190010</v>
      </c>
      <c r="C53" s="142" t="s">
        <v>70</v>
      </c>
      <c r="D53" s="64"/>
      <c r="E53" s="381" t="s">
        <v>849</v>
      </c>
      <c r="F53" s="478">
        <v>0</v>
      </c>
      <c r="G53"/>
      <c r="H53"/>
      <c r="I53"/>
      <c r="J53"/>
      <c r="K53"/>
      <c r="L53"/>
      <c r="M53"/>
      <c r="N53"/>
      <c r="O53"/>
      <c r="P53"/>
      <c r="S53" s="64"/>
    </row>
    <row r="54" spans="1:53" s="165" customFormat="1" ht="14.25">
      <c r="A54" s="375">
        <v>25</v>
      </c>
      <c r="B54" s="142" t="s">
        <v>336</v>
      </c>
      <c r="C54" s="142" t="s">
        <v>337</v>
      </c>
      <c r="D54" s="64"/>
      <c r="E54" s="381" t="s">
        <v>849</v>
      </c>
      <c r="F54" s="478">
        <v>5834102.29</v>
      </c>
      <c r="G54"/>
      <c r="H54"/>
      <c r="I54"/>
      <c r="J54"/>
      <c r="K54"/>
      <c r="L54"/>
      <c r="M54"/>
      <c r="N54"/>
      <c r="O54"/>
      <c r="P54"/>
      <c r="S54" s="64"/>
    </row>
    <row r="55" spans="1:53" s="165" customFormat="1" ht="14.25">
      <c r="A55" s="375">
        <v>26</v>
      </c>
      <c r="B55" s="142" t="s">
        <v>338</v>
      </c>
      <c r="C55" s="142" t="s">
        <v>339</v>
      </c>
      <c r="D55" s="64"/>
      <c r="E55" s="381" t="s">
        <v>849</v>
      </c>
      <c r="F55" s="477">
        <v>-63997.07</v>
      </c>
      <c r="G55"/>
      <c r="H55"/>
      <c r="I55"/>
      <c r="J55"/>
      <c r="K55"/>
      <c r="L55"/>
      <c r="M55"/>
      <c r="N55"/>
      <c r="O55"/>
      <c r="P55"/>
      <c r="S55" s="64"/>
    </row>
    <row r="56" spans="1:53" s="165" customFormat="1">
      <c r="A56" s="375">
        <v>27</v>
      </c>
      <c r="B56" s="142"/>
      <c r="C56" s="142" t="s">
        <v>340</v>
      </c>
      <c r="D56" s="64"/>
      <c r="E56" s="381" t="s">
        <v>102</v>
      </c>
      <c r="F56" s="145">
        <f>SUM(F49:F55)</f>
        <v>-3846853.0499999993</v>
      </c>
      <c r="G56"/>
      <c r="H56"/>
      <c r="I56"/>
      <c r="J56"/>
      <c r="K56"/>
      <c r="L56"/>
      <c r="M56"/>
      <c r="N56"/>
      <c r="O56"/>
      <c r="P56"/>
      <c r="S56" s="64"/>
    </row>
    <row r="57" spans="1:53" s="165" customFormat="1" ht="13.5">
      <c r="A57" s="375"/>
      <c r="B57" s="142"/>
      <c r="C57" s="142"/>
      <c r="D57" s="166" t="s">
        <v>307</v>
      </c>
      <c r="E57" s="381" t="s">
        <v>102</v>
      </c>
      <c r="F57" s="167" t="s">
        <v>341</v>
      </c>
      <c r="G57"/>
      <c r="H57"/>
      <c r="I57"/>
      <c r="J57"/>
      <c r="K57"/>
      <c r="L57"/>
      <c r="M57"/>
      <c r="N57"/>
      <c r="O57"/>
      <c r="P57"/>
      <c r="S57" s="64"/>
    </row>
    <row r="58" spans="1:53" s="165" customFormat="1" ht="12.75" customHeight="1">
      <c r="A58" s="375"/>
      <c r="B58" s="168"/>
      <c r="C58" s="169"/>
      <c r="D58" s="64"/>
      <c r="E58" s="381" t="s">
        <v>102</v>
      </c>
      <c r="F58" s="145"/>
      <c r="G58"/>
      <c r="H58"/>
      <c r="I58"/>
      <c r="J58"/>
      <c r="K58"/>
      <c r="L58"/>
      <c r="M58"/>
      <c r="N58"/>
      <c r="O58"/>
      <c r="P58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BA58" s="64"/>
    </row>
    <row r="59" spans="1:53" s="165" customFormat="1" ht="12.75" customHeight="1">
      <c r="A59" s="375">
        <v>28</v>
      </c>
      <c r="B59" s="168"/>
      <c r="C59" s="169" t="s">
        <v>342</v>
      </c>
      <c r="D59" s="64"/>
      <c r="E59" s="381" t="s">
        <v>849</v>
      </c>
      <c r="F59" s="145">
        <f>SUM(F19,F22,F25,F31,F40,F46,F56)</f>
        <v>5276801715.1179991</v>
      </c>
      <c r="G59"/>
      <c r="H59"/>
      <c r="I59"/>
      <c r="J59"/>
      <c r="K59"/>
      <c r="L59"/>
      <c r="M59"/>
      <c r="N59"/>
      <c r="O59"/>
      <c r="P59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BA59" s="64"/>
    </row>
    <row r="60" spans="1:53">
      <c r="A60" s="9"/>
      <c r="D60" s="170"/>
      <c r="E60" s="381" t="s">
        <v>102</v>
      </c>
      <c r="G60"/>
      <c r="H60"/>
      <c r="I60"/>
      <c r="J60"/>
      <c r="K60"/>
      <c r="L60"/>
      <c r="M60"/>
      <c r="N60"/>
      <c r="O60"/>
      <c r="P60"/>
    </row>
    <row r="61" spans="1:53" ht="14.25">
      <c r="A61" s="375">
        <v>29</v>
      </c>
      <c r="C61" s="7" t="s">
        <v>343</v>
      </c>
      <c r="E61" s="381" t="s">
        <v>849</v>
      </c>
      <c r="F61" s="171">
        <f>+F19+F31+F40</f>
        <v>5284111780.7979994</v>
      </c>
      <c r="G61"/>
      <c r="H61"/>
      <c r="I61"/>
      <c r="J61"/>
      <c r="K61"/>
      <c r="L61"/>
      <c r="M61"/>
      <c r="N61"/>
      <c r="O61"/>
      <c r="P61"/>
      <c r="R61" s="171"/>
    </row>
    <row r="62" spans="1:53">
      <c r="E62" s="171"/>
      <c r="F62" s="171"/>
      <c r="G62" s="171"/>
      <c r="H62" s="171"/>
      <c r="I62" s="171"/>
      <c r="J62" s="171"/>
      <c r="K62" s="171"/>
      <c r="L62" s="171"/>
      <c r="M62" s="171"/>
      <c r="N62" s="171"/>
      <c r="O62" s="171"/>
      <c r="P62" s="171"/>
      <c r="Q62" s="171"/>
      <c r="R62" s="171"/>
    </row>
    <row r="63" spans="1:53">
      <c r="B63" s="172" t="s">
        <v>268</v>
      </c>
    </row>
    <row r="64" spans="1:53" ht="13.5">
      <c r="B64" s="173" t="s">
        <v>529</v>
      </c>
      <c r="E64" s="174"/>
      <c r="Q64" s="174"/>
    </row>
    <row r="65" spans="2:2" ht="13.5">
      <c r="B65" s="175" t="s">
        <v>817</v>
      </c>
    </row>
    <row r="69" spans="2:2" ht="12" customHeight="1"/>
    <row r="70" spans="2:2" hidden="1"/>
    <row r="71" spans="2:2" hidden="1"/>
    <row r="72" spans="2:2" ht="10.5" customHeight="1"/>
    <row r="73" spans="2:2" hidden="1"/>
  </sheetData>
  <mergeCells count="5">
    <mergeCell ref="E7:H7"/>
    <mergeCell ref="B2:M2"/>
    <mergeCell ref="B4:M4"/>
    <mergeCell ref="B5:M5"/>
    <mergeCell ref="B3:M3"/>
  </mergeCells>
  <phoneticPr fontId="2" type="noConversion"/>
  <pageMargins left="0.5" right="0.5" top="0.5" bottom="0.5" header="0.5" footer="0.25"/>
  <pageSetup scale="56" fitToHeight="0" orientation="portrait" r:id="rId1"/>
  <headerFooter alignWithMargins="0">
    <oddFooter>&amp;C&amp;A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M23"/>
  <sheetViews>
    <sheetView showGridLines="0" view="pageBreakPreview" zoomScaleNormal="100" zoomScaleSheetLayoutView="100" workbookViewId="0">
      <pane xSplit="1" topLeftCell="B1" activePane="topRight" state="frozen"/>
      <selection activeCell="P12" sqref="P12"/>
      <selection pane="topRight" activeCell="H12" sqref="H12"/>
    </sheetView>
  </sheetViews>
  <sheetFormatPr defaultColWidth="9.140625" defaultRowHeight="12.75"/>
  <cols>
    <col min="1" max="1" width="8.140625" style="151" bestFit="1" customWidth="1"/>
    <col min="2" max="2" width="13" style="151" customWidth="1"/>
    <col min="3" max="3" width="11.5703125" style="151" customWidth="1"/>
    <col min="4" max="5" width="13.5703125" style="151" customWidth="1"/>
    <col min="6" max="6" width="8.140625" style="151" bestFit="1" customWidth="1"/>
    <col min="7" max="7" width="8.5703125" style="151" bestFit="1" customWidth="1"/>
    <col min="8" max="8" width="13.5703125" style="151" customWidth="1"/>
    <col min="9" max="9" width="13.42578125" style="151" customWidth="1"/>
    <col min="10" max="10" width="18.140625" style="151" customWidth="1"/>
    <col min="11" max="11" width="13.5703125" style="151" customWidth="1"/>
    <col min="12" max="16384" width="9.140625" style="151"/>
  </cols>
  <sheetData>
    <row r="1" spans="1:13">
      <c r="K1" s="297" t="s">
        <v>102</v>
      </c>
    </row>
    <row r="2" spans="1:13">
      <c r="A2" s="778" t="s">
        <v>587</v>
      </c>
      <c r="B2" s="778"/>
      <c r="C2" s="778"/>
      <c r="D2" s="778"/>
      <c r="E2" s="778"/>
      <c r="F2" s="778"/>
      <c r="G2" s="715"/>
      <c r="H2" s="715"/>
      <c r="I2" s="715"/>
      <c r="J2" s="715"/>
      <c r="K2" s="715"/>
    </row>
    <row r="3" spans="1:13">
      <c r="A3" s="777" t="s">
        <v>567</v>
      </c>
      <c r="B3" s="777"/>
      <c r="C3" s="777"/>
      <c r="D3" s="777"/>
      <c r="E3" s="777"/>
      <c r="F3" s="777"/>
      <c r="G3" s="777"/>
      <c r="H3" s="777"/>
      <c r="I3" s="777"/>
      <c r="J3" s="777"/>
      <c r="K3" s="777"/>
    </row>
    <row r="4" spans="1:13">
      <c r="A4" s="778" t="s">
        <v>47</v>
      </c>
      <c r="B4" s="778"/>
      <c r="C4" s="778"/>
      <c r="D4" s="778"/>
      <c r="E4" s="778"/>
      <c r="F4" s="778"/>
      <c r="G4" s="715"/>
      <c r="H4" s="715"/>
      <c r="I4" s="715"/>
      <c r="J4" s="715"/>
      <c r="K4" s="715"/>
    </row>
    <row r="5" spans="1:13">
      <c r="A5" s="779" t="s">
        <v>1182</v>
      </c>
      <c r="B5" s="779"/>
      <c r="C5" s="779"/>
      <c r="D5" s="779"/>
      <c r="E5" s="779"/>
      <c r="F5" s="779"/>
      <c r="G5" s="715"/>
      <c r="H5" s="715"/>
      <c r="I5" s="715"/>
      <c r="J5" s="715"/>
      <c r="K5" s="715"/>
    </row>
    <row r="8" spans="1:13">
      <c r="B8" s="782" t="s">
        <v>289</v>
      </c>
      <c r="C8" s="783"/>
      <c r="D8" s="782" t="s">
        <v>290</v>
      </c>
      <c r="E8" s="783"/>
      <c r="F8" s="782" t="s">
        <v>388</v>
      </c>
      <c r="G8" s="783"/>
      <c r="H8" s="782" t="s">
        <v>389</v>
      </c>
      <c r="I8" s="783"/>
      <c r="J8" s="225" t="s">
        <v>391</v>
      </c>
      <c r="K8" s="152" t="s">
        <v>190</v>
      </c>
    </row>
    <row r="9" spans="1:13">
      <c r="B9" s="780" t="s">
        <v>373</v>
      </c>
      <c r="C9" s="781"/>
      <c r="D9" s="780" t="s">
        <v>374</v>
      </c>
      <c r="E9" s="781"/>
      <c r="F9" s="780" t="s">
        <v>375</v>
      </c>
      <c r="G9" s="781"/>
      <c r="H9" s="780" t="s">
        <v>376</v>
      </c>
      <c r="I9" s="781"/>
      <c r="J9" s="226" t="s">
        <v>392</v>
      </c>
      <c r="K9" s="223"/>
    </row>
    <row r="10" spans="1:13">
      <c r="A10" s="153" t="s">
        <v>97</v>
      </c>
      <c r="B10" s="154" t="s">
        <v>288</v>
      </c>
      <c r="C10" s="154" t="s">
        <v>284</v>
      </c>
      <c r="D10" s="155" t="s">
        <v>291</v>
      </c>
      <c r="E10" s="154" t="s">
        <v>284</v>
      </c>
      <c r="F10" s="156" t="s">
        <v>386</v>
      </c>
      <c r="G10" s="156" t="s">
        <v>284</v>
      </c>
      <c r="H10" s="156" t="s">
        <v>390</v>
      </c>
      <c r="I10" s="156" t="s">
        <v>284</v>
      </c>
      <c r="J10" s="156"/>
      <c r="K10" s="156" t="s">
        <v>191</v>
      </c>
    </row>
    <row r="11" spans="1:13">
      <c r="A11" s="158">
        <v>45261</v>
      </c>
      <c r="B11" s="80">
        <v>0</v>
      </c>
      <c r="C11" s="157" t="s">
        <v>287</v>
      </c>
      <c r="D11" s="80">
        <v>0</v>
      </c>
      <c r="E11" s="157" t="s">
        <v>292</v>
      </c>
      <c r="F11" s="80">
        <v>0</v>
      </c>
      <c r="G11" s="157" t="s">
        <v>387</v>
      </c>
      <c r="H11" s="80">
        <v>1834533776</v>
      </c>
      <c r="I11" s="157" t="s">
        <v>314</v>
      </c>
      <c r="J11" s="157">
        <f>B11+D11-F11+H11</f>
        <v>1834533776</v>
      </c>
      <c r="K11" s="287">
        <v>0</v>
      </c>
    </row>
    <row r="12" spans="1:13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M12" s="159" t="s">
        <v>102</v>
      </c>
    </row>
    <row r="13" spans="1:13">
      <c r="A13" s="160" t="s">
        <v>92</v>
      </c>
      <c r="B13" s="62">
        <f>SUM(B11:B11)</f>
        <v>0</v>
      </c>
      <c r="C13" s="62"/>
      <c r="D13" s="62">
        <f>SUM(D11:D11)</f>
        <v>0</v>
      </c>
      <c r="E13" s="62"/>
      <c r="F13" s="227">
        <f>SUM(F11:F12)</f>
        <v>0</v>
      </c>
      <c r="G13" s="62"/>
      <c r="H13" s="227">
        <f>SUM(H11:H12)</f>
        <v>1834533776</v>
      </c>
      <c r="I13" s="62"/>
      <c r="J13" s="227">
        <f>SUM(J11:J12)</f>
        <v>1834533776</v>
      </c>
      <c r="K13" s="62">
        <f>SUM(K11:K11)</f>
        <v>0</v>
      </c>
    </row>
    <row r="14" spans="1:13">
      <c r="A14" s="100"/>
      <c r="B14" s="100"/>
      <c r="C14" s="100"/>
      <c r="D14" s="100"/>
      <c r="E14" s="100"/>
      <c r="F14" s="100"/>
      <c r="G14" s="100"/>
      <c r="H14" s="100"/>
      <c r="I14" s="100"/>
      <c r="J14" s="100"/>
      <c r="K14" s="100"/>
    </row>
    <row r="15" spans="1:13">
      <c r="A15" s="100"/>
      <c r="B15" s="100"/>
      <c r="C15" s="100"/>
      <c r="D15" s="100"/>
      <c r="E15" s="100"/>
      <c r="F15" s="100"/>
    </row>
    <row r="16" spans="1:13">
      <c r="J16" s="228" t="s">
        <v>405</v>
      </c>
      <c r="K16" s="224">
        <f>IF(J13=0,0,K13/J13)</f>
        <v>0</v>
      </c>
    </row>
    <row r="17" spans="1:9">
      <c r="A17" s="7"/>
    </row>
    <row r="18" spans="1:9">
      <c r="A18" s="151" t="s">
        <v>395</v>
      </c>
    </row>
    <row r="19" spans="1:9">
      <c r="A19" s="229" t="s">
        <v>394</v>
      </c>
      <c r="B19" s="151" t="s">
        <v>397</v>
      </c>
    </row>
    <row r="20" spans="1:9">
      <c r="A20" s="229" t="s">
        <v>393</v>
      </c>
      <c r="B20" s="151" t="s">
        <v>396</v>
      </c>
    </row>
    <row r="23" spans="1:9">
      <c r="I23"/>
    </row>
  </sheetData>
  <mergeCells count="12">
    <mergeCell ref="A3:K3"/>
    <mergeCell ref="A2:K2"/>
    <mergeCell ref="A4:K4"/>
    <mergeCell ref="A5:K5"/>
    <mergeCell ref="B9:C9"/>
    <mergeCell ref="D9:E9"/>
    <mergeCell ref="F8:G8"/>
    <mergeCell ref="H8:I8"/>
    <mergeCell ref="H9:I9"/>
    <mergeCell ref="F9:G9"/>
    <mergeCell ref="B8:C8"/>
    <mergeCell ref="D8:E8"/>
  </mergeCells>
  <phoneticPr fontId="2" type="noConversion"/>
  <pageMargins left="0.5" right="0.5" top="0.5" bottom="0.5" header="0.5" footer="0.25"/>
  <pageSetup scale="65" orientation="portrait" r:id="rId1"/>
  <headerFooter alignWithMargins="0">
    <oddFooter>&amp;C&amp;A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P56"/>
  <sheetViews>
    <sheetView showGridLines="0" view="pageBreakPreview" zoomScaleNormal="100" zoomScaleSheetLayoutView="100" workbookViewId="0">
      <selection activeCell="R12" sqref="R12"/>
    </sheetView>
  </sheetViews>
  <sheetFormatPr defaultColWidth="11" defaultRowHeight="12.75"/>
  <cols>
    <col min="1" max="1" width="5.5703125" style="7" customWidth="1"/>
    <col min="2" max="3" width="16.5703125" style="7" customWidth="1"/>
    <col min="4" max="4" width="11.5703125" style="7" customWidth="1"/>
    <col min="5" max="5" width="18.85546875" style="7" customWidth="1"/>
    <col min="6" max="6" width="17.5703125" style="7" customWidth="1"/>
    <col min="7" max="7" width="15.5703125" style="7" customWidth="1"/>
    <col min="8" max="8" width="10.5703125" style="7" customWidth="1"/>
    <col min="9" max="9" width="13.42578125" style="7" customWidth="1"/>
    <col min="10" max="10" width="12.42578125" style="7" customWidth="1"/>
    <col min="11" max="11" width="16.5703125" style="7" customWidth="1"/>
    <col min="12" max="12" width="12.42578125" style="7" customWidth="1"/>
    <col min="13" max="13" width="16.5703125" style="7" customWidth="1"/>
    <col min="14" max="14" width="11.5703125" style="7" customWidth="1"/>
    <col min="15" max="15" width="16.5703125" style="7" customWidth="1"/>
    <col min="16" max="16" width="19.85546875" style="7" customWidth="1"/>
    <col min="17" max="19" width="16.5703125" style="7" customWidth="1"/>
    <col min="20" max="16384" width="11" style="7"/>
  </cols>
  <sheetData>
    <row r="1" spans="1:16">
      <c r="B1" s="65"/>
      <c r="P1" s="206" t="s">
        <v>102</v>
      </c>
    </row>
    <row r="2" spans="1:16">
      <c r="A2" s="765" t="s">
        <v>587</v>
      </c>
      <c r="B2" s="715"/>
      <c r="C2" s="715"/>
      <c r="D2" s="715"/>
      <c r="E2" s="715"/>
      <c r="F2" s="715"/>
      <c r="G2" s="715"/>
      <c r="H2" s="715"/>
      <c r="I2" s="715"/>
      <c r="J2" s="715"/>
      <c r="K2" s="715"/>
      <c r="L2" s="715"/>
      <c r="M2" s="715"/>
      <c r="N2" s="715"/>
      <c r="O2" s="715"/>
      <c r="P2" s="715"/>
    </row>
    <row r="3" spans="1:16">
      <c r="A3" s="725" t="s">
        <v>567</v>
      </c>
      <c r="B3" s="725"/>
      <c r="C3" s="725"/>
      <c r="D3" s="725"/>
      <c r="E3" s="725"/>
      <c r="F3" s="725"/>
      <c r="G3" s="725"/>
      <c r="H3" s="725"/>
      <c r="I3" s="725"/>
      <c r="J3" s="725"/>
      <c r="K3" s="725"/>
      <c r="L3" s="725"/>
      <c r="M3" s="725"/>
      <c r="N3" s="725"/>
      <c r="O3" s="725"/>
      <c r="P3" s="725"/>
    </row>
    <row r="4" spans="1:16">
      <c r="A4" s="765" t="s">
        <v>48</v>
      </c>
      <c r="B4" s="715"/>
      <c r="C4" s="715"/>
      <c r="D4" s="715"/>
      <c r="E4" s="715"/>
      <c r="F4" s="715"/>
      <c r="G4" s="715"/>
      <c r="H4" s="715"/>
      <c r="I4" s="715"/>
      <c r="J4" s="715"/>
      <c r="K4" s="715"/>
      <c r="L4" s="715"/>
      <c r="M4" s="715"/>
      <c r="N4" s="715"/>
      <c r="O4" s="715"/>
      <c r="P4" s="715"/>
    </row>
    <row r="5" spans="1:16">
      <c r="A5" s="776" t="s">
        <v>1182</v>
      </c>
      <c r="B5" s="715"/>
      <c r="C5" s="715"/>
      <c r="D5" s="715"/>
      <c r="E5" s="715"/>
      <c r="F5" s="715"/>
      <c r="G5" s="715"/>
      <c r="H5" s="715"/>
      <c r="I5" s="715"/>
      <c r="J5" s="715"/>
      <c r="K5" s="715"/>
      <c r="L5" s="715"/>
      <c r="M5" s="715"/>
      <c r="N5" s="715"/>
      <c r="O5" s="715"/>
      <c r="P5" s="715"/>
    </row>
    <row r="6" spans="1:16" ht="11.25" customHeight="1"/>
    <row r="7" spans="1:16" ht="25.7" customHeight="1">
      <c r="A7" s="140" t="s">
        <v>118</v>
      </c>
      <c r="B7" s="94" t="s">
        <v>261</v>
      </c>
      <c r="C7" s="93" t="s">
        <v>228</v>
      </c>
      <c r="D7" s="93" t="s">
        <v>400</v>
      </c>
      <c r="E7" s="93" t="s">
        <v>399</v>
      </c>
      <c r="F7" s="93" t="s">
        <v>400</v>
      </c>
      <c r="G7" s="93" t="s">
        <v>401</v>
      </c>
      <c r="H7" s="93" t="s">
        <v>400</v>
      </c>
      <c r="I7" s="93" t="s">
        <v>230</v>
      </c>
      <c r="J7" s="93" t="s">
        <v>400</v>
      </c>
      <c r="K7" s="93" t="s">
        <v>231</v>
      </c>
      <c r="L7" s="93" t="s">
        <v>400</v>
      </c>
      <c r="M7" s="93" t="s">
        <v>232</v>
      </c>
      <c r="N7" s="93" t="s">
        <v>400</v>
      </c>
      <c r="O7" s="93" t="s">
        <v>233</v>
      </c>
      <c r="P7" s="93" t="s">
        <v>365</v>
      </c>
    </row>
    <row r="8" spans="1:16" ht="30" customHeight="1">
      <c r="C8" s="9" t="s">
        <v>234</v>
      </c>
      <c r="D8" s="9"/>
      <c r="E8" s="9">
        <v>2210000</v>
      </c>
      <c r="F8" s="9"/>
      <c r="G8" s="9">
        <v>2220001</v>
      </c>
      <c r="H8" s="9"/>
      <c r="I8" s="9" t="s">
        <v>235</v>
      </c>
      <c r="J8" s="9"/>
      <c r="K8" s="9" t="s">
        <v>236</v>
      </c>
      <c r="L8" s="9"/>
      <c r="M8" s="9" t="s">
        <v>237</v>
      </c>
      <c r="N8" s="9"/>
    </row>
    <row r="9" spans="1:16">
      <c r="C9" s="9" t="s">
        <v>373</v>
      </c>
      <c r="D9" s="9"/>
      <c r="E9" s="9" t="s">
        <v>374</v>
      </c>
      <c r="F9" s="9"/>
      <c r="G9" s="9" t="s">
        <v>375</v>
      </c>
      <c r="H9" s="9"/>
      <c r="I9" s="9" t="s">
        <v>376</v>
      </c>
      <c r="K9" s="9" t="s">
        <v>377</v>
      </c>
      <c r="M9" s="9" t="s">
        <v>370</v>
      </c>
      <c r="O9" s="9" t="s">
        <v>404</v>
      </c>
    </row>
    <row r="10" spans="1:16">
      <c r="A10" s="9">
        <v>1</v>
      </c>
      <c r="B10" s="36">
        <v>45261</v>
      </c>
      <c r="C10" s="512">
        <v>0</v>
      </c>
      <c r="D10" s="513" t="s">
        <v>406</v>
      </c>
      <c r="E10" s="512">
        <v>147717358</v>
      </c>
      <c r="F10" s="513" t="s">
        <v>403</v>
      </c>
      <c r="G10" s="512">
        <v>0</v>
      </c>
      <c r="H10" s="513" t="s">
        <v>402</v>
      </c>
      <c r="I10" s="512">
        <v>0</v>
      </c>
      <c r="J10" s="514" t="s">
        <v>407</v>
      </c>
      <c r="K10" s="512">
        <v>5482701032</v>
      </c>
      <c r="L10" s="145" t="s">
        <v>1154</v>
      </c>
      <c r="M10" s="512">
        <v>0</v>
      </c>
      <c r="N10" s="514" t="s">
        <v>407</v>
      </c>
      <c r="O10" s="31">
        <f>SUM(C10:M10)</f>
        <v>5630418390</v>
      </c>
      <c r="P10" s="609" t="s">
        <v>1054</v>
      </c>
    </row>
    <row r="11" spans="1:16">
      <c r="A11" s="9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</row>
    <row r="12" spans="1:16">
      <c r="A12" s="9">
        <v>2</v>
      </c>
      <c r="B12" s="36">
        <v>45261</v>
      </c>
      <c r="C12" s="31">
        <f>AVERAGE(C10:C10)</f>
        <v>0</v>
      </c>
      <c r="D12" s="31"/>
      <c r="E12" s="31">
        <f>AVERAGE(E10:E10)</f>
        <v>147717358</v>
      </c>
      <c r="F12" s="31"/>
      <c r="G12" s="31">
        <f>AVERAGE(G10:G10)</f>
        <v>0</v>
      </c>
      <c r="H12" s="31"/>
      <c r="I12" s="31">
        <f>AVERAGE(I10:I10)</f>
        <v>0</v>
      </c>
      <c r="J12" s="31"/>
      <c r="K12" s="31">
        <f>AVERAGE(K10:K10)</f>
        <v>5482701032</v>
      </c>
      <c r="L12" s="31"/>
      <c r="M12" s="31">
        <f>AVERAGE(M10:M10)</f>
        <v>0</v>
      </c>
      <c r="N12" s="31"/>
      <c r="O12" s="31">
        <f>AVERAGE(O10:O10)</f>
        <v>5630418390</v>
      </c>
      <c r="P12" s="37"/>
    </row>
    <row r="13" spans="1:16">
      <c r="A13" s="9"/>
    </row>
    <row r="14" spans="1:16">
      <c r="A14" s="9"/>
    </row>
    <row r="15" spans="1:16">
      <c r="A15" s="9"/>
      <c r="B15" s="784" t="str">
        <f>A2</f>
        <v>Appalachian Power Company</v>
      </c>
      <c r="C15" s="784"/>
      <c r="D15" s="784"/>
      <c r="E15" s="784"/>
      <c r="P15" s="693"/>
    </row>
    <row r="16" spans="1:16">
      <c r="A16" s="9"/>
      <c r="B16" s="784" t="s">
        <v>188</v>
      </c>
      <c r="C16" s="784"/>
      <c r="D16" s="784"/>
      <c r="E16" s="784"/>
    </row>
    <row r="17" spans="1:8">
      <c r="A17" s="9"/>
      <c r="B17" s="784" t="str">
        <f>A5</f>
        <v>For the Year Ending December 31, 2023</v>
      </c>
      <c r="C17" s="784"/>
      <c r="D17" s="784"/>
      <c r="E17" s="784"/>
    </row>
    <row r="18" spans="1:8">
      <c r="A18" s="9"/>
      <c r="B18" s="8"/>
      <c r="C18" s="8"/>
      <c r="D18" s="8"/>
      <c r="E18" s="8"/>
    </row>
    <row r="19" spans="1:8">
      <c r="A19" s="140" t="s">
        <v>118</v>
      </c>
      <c r="B19" s="141" t="s">
        <v>103</v>
      </c>
      <c r="C19" s="141"/>
      <c r="D19" s="141" t="s">
        <v>229</v>
      </c>
      <c r="E19" s="141"/>
      <c r="F19" s="140" t="s">
        <v>283</v>
      </c>
    </row>
    <row r="20" spans="1:8">
      <c r="A20" s="9">
        <v>1</v>
      </c>
      <c r="B20" s="8" t="s">
        <v>238</v>
      </c>
      <c r="C20" s="7" t="s">
        <v>239</v>
      </c>
      <c r="D20" s="142" t="s">
        <v>240</v>
      </c>
      <c r="F20" s="476">
        <v>11075202.02</v>
      </c>
    </row>
    <row r="21" spans="1:8">
      <c r="A21" s="473">
        <v>2</v>
      </c>
      <c r="B21" s="474" t="s">
        <v>238</v>
      </c>
      <c r="C21" s="7" t="s">
        <v>868</v>
      </c>
      <c r="D21" s="479">
        <v>4270004</v>
      </c>
      <c r="F21" s="476">
        <v>5895380.3499999996</v>
      </c>
    </row>
    <row r="22" spans="1:8">
      <c r="A22" s="473">
        <v>3</v>
      </c>
      <c r="B22" s="474" t="s">
        <v>238</v>
      </c>
      <c r="C22" s="7" t="s">
        <v>869</v>
      </c>
      <c r="D22" s="479">
        <v>4270005</v>
      </c>
      <c r="F22" s="476">
        <v>22349449.84</v>
      </c>
    </row>
    <row r="23" spans="1:8">
      <c r="A23" s="9">
        <v>4</v>
      </c>
      <c r="B23" s="8" t="s">
        <v>238</v>
      </c>
      <c r="C23" s="7" t="s">
        <v>241</v>
      </c>
      <c r="D23" s="142" t="s">
        <v>242</v>
      </c>
      <c r="F23" s="476">
        <v>215230669.38</v>
      </c>
    </row>
    <row r="24" spans="1:8">
      <c r="A24" s="9">
        <v>5</v>
      </c>
      <c r="B24" s="8" t="s">
        <v>238</v>
      </c>
      <c r="C24" s="7" t="s">
        <v>1001</v>
      </c>
      <c r="D24" s="308">
        <v>4270202</v>
      </c>
      <c r="F24" s="477">
        <v>0</v>
      </c>
    </row>
    <row r="25" spans="1:8">
      <c r="A25" s="9">
        <v>6</v>
      </c>
      <c r="B25" s="8"/>
      <c r="D25" s="144" t="s">
        <v>256</v>
      </c>
      <c r="F25" s="423">
        <f>SUM(F20:F24)</f>
        <v>254550701.58999997</v>
      </c>
      <c r="H25" s="39"/>
    </row>
    <row r="26" spans="1:8">
      <c r="A26" s="9"/>
      <c r="B26" s="8"/>
      <c r="D26" s="142"/>
      <c r="F26" s="423"/>
    </row>
    <row r="27" spans="1:8">
      <c r="A27" s="9">
        <v>7</v>
      </c>
      <c r="B27" s="146" t="s">
        <v>243</v>
      </c>
      <c r="D27" s="144" t="s">
        <v>254</v>
      </c>
      <c r="F27" s="476">
        <v>4353854.25</v>
      </c>
    </row>
    <row r="28" spans="1:8">
      <c r="A28" s="9">
        <v>8</v>
      </c>
      <c r="B28" s="8" t="s">
        <v>244</v>
      </c>
      <c r="D28" s="144" t="s">
        <v>255</v>
      </c>
      <c r="F28" s="476">
        <v>3714559.8000000003</v>
      </c>
    </row>
    <row r="29" spans="1:8">
      <c r="A29" s="9"/>
      <c r="B29" s="8"/>
      <c r="D29" s="142"/>
      <c r="F29" s="476"/>
    </row>
    <row r="30" spans="1:8">
      <c r="A30" s="9">
        <v>9</v>
      </c>
      <c r="B30" s="8" t="s">
        <v>564</v>
      </c>
      <c r="C30" s="7" t="s">
        <v>245</v>
      </c>
      <c r="D30" s="144" t="s">
        <v>257</v>
      </c>
      <c r="F30" s="476">
        <v>16797094.140000001</v>
      </c>
    </row>
    <row r="31" spans="1:8">
      <c r="A31" s="9"/>
      <c r="B31" s="8"/>
      <c r="F31" s="510"/>
    </row>
    <row r="32" spans="1:8">
      <c r="A32" s="9">
        <v>10</v>
      </c>
      <c r="B32" s="8" t="s">
        <v>246</v>
      </c>
      <c r="D32" s="144" t="s">
        <v>258</v>
      </c>
      <c r="F32" s="510">
        <v>0</v>
      </c>
    </row>
    <row r="33" spans="1:11">
      <c r="A33" s="9"/>
      <c r="B33" s="8"/>
      <c r="F33" s="510"/>
    </row>
    <row r="34" spans="1:11">
      <c r="A34" s="9">
        <v>11</v>
      </c>
      <c r="B34" s="146" t="s">
        <v>247</v>
      </c>
      <c r="D34" s="144" t="s">
        <v>259</v>
      </c>
      <c r="F34" s="511">
        <v>0</v>
      </c>
    </row>
    <row r="35" spans="1:11">
      <c r="A35" s="9"/>
      <c r="B35" s="8"/>
      <c r="F35" s="147"/>
    </row>
    <row r="36" spans="1:11" ht="13.5" thickBot="1">
      <c r="A36" s="9">
        <v>12</v>
      </c>
      <c r="B36" s="7" t="s">
        <v>248</v>
      </c>
      <c r="F36" s="148">
        <f>SUM(F25,F27,F28,F30,F32,F34)</f>
        <v>279416209.77999997</v>
      </c>
    </row>
    <row r="37" spans="1:11" ht="13.5" thickTop="1">
      <c r="A37" s="9"/>
    </row>
    <row r="38" spans="1:11">
      <c r="A38" s="9">
        <v>13</v>
      </c>
      <c r="B38" s="149" t="s">
        <v>361</v>
      </c>
    </row>
    <row r="39" spans="1:11">
      <c r="A39" s="9">
        <v>14</v>
      </c>
      <c r="B39" s="21" t="s">
        <v>362</v>
      </c>
      <c r="D39" s="304" t="s">
        <v>1055</v>
      </c>
      <c r="F39" s="39">
        <f>F25</f>
        <v>254550701.58999997</v>
      </c>
    </row>
    <row r="40" spans="1:11">
      <c r="A40" s="9">
        <v>15</v>
      </c>
      <c r="B40" s="21" t="s">
        <v>363</v>
      </c>
      <c r="D40" s="304" t="s">
        <v>1056</v>
      </c>
      <c r="F40" s="39">
        <f>F30</f>
        <v>16797094.140000001</v>
      </c>
    </row>
    <row r="41" spans="1:11" ht="13.5" thickBot="1">
      <c r="A41" s="9">
        <v>16</v>
      </c>
      <c r="B41" s="21" t="s">
        <v>364</v>
      </c>
      <c r="F41" s="150">
        <f>SUM(F39:F40)</f>
        <v>271347795.72999996</v>
      </c>
      <c r="H41"/>
      <c r="I41"/>
      <c r="J41"/>
      <c r="K41"/>
    </row>
    <row r="42" spans="1:11" ht="13.5" thickTop="1">
      <c r="A42" s="9"/>
      <c r="B42" s="21"/>
      <c r="F42" s="39"/>
    </row>
    <row r="43" spans="1:11">
      <c r="A43" s="9"/>
      <c r="B43" s="21"/>
      <c r="F43" s="39"/>
    </row>
    <row r="44" spans="1:11">
      <c r="A44" s="9">
        <v>17</v>
      </c>
      <c r="B44" s="427" t="s">
        <v>360</v>
      </c>
      <c r="C44" s="427"/>
      <c r="D44" s="427"/>
      <c r="E44" s="427"/>
      <c r="F44" s="423">
        <f>'WP-13a'!E18</f>
        <v>-1056830.4341772152</v>
      </c>
    </row>
    <row r="45" spans="1:11">
      <c r="B45" s="65" t="s">
        <v>409</v>
      </c>
    </row>
    <row r="48" spans="1:11">
      <c r="B48" s="7" t="s">
        <v>955</v>
      </c>
    </row>
    <row r="50" spans="2:5" ht="13.5" thickBot="1"/>
    <row r="51" spans="2:5">
      <c r="B51" s="366" t="s">
        <v>656</v>
      </c>
      <c r="C51" s="355"/>
      <c r="D51" s="355"/>
      <c r="E51" s="356"/>
    </row>
    <row r="52" spans="2:5">
      <c r="B52" s="357"/>
      <c r="C52" s="21"/>
      <c r="D52" s="21"/>
      <c r="E52" s="358"/>
    </row>
    <row r="53" spans="2:5">
      <c r="B53" s="357">
        <v>4300001</v>
      </c>
      <c r="C53" s="21" t="s">
        <v>657</v>
      </c>
      <c r="D53" s="21"/>
      <c r="E53" s="522">
        <v>0</v>
      </c>
    </row>
    <row r="54" spans="2:5">
      <c r="B54" s="357">
        <v>4300003</v>
      </c>
      <c r="C54" s="21" t="s">
        <v>658</v>
      </c>
      <c r="D54" s="21"/>
      <c r="E54" s="522">
        <v>16797094.140000001</v>
      </c>
    </row>
    <row r="55" spans="2:5">
      <c r="B55" s="357"/>
      <c r="C55" s="21" t="s">
        <v>659</v>
      </c>
      <c r="D55" s="21"/>
      <c r="E55" s="522">
        <f>+E53+E54</f>
        <v>16797094.140000001</v>
      </c>
    </row>
    <row r="56" spans="2:5" ht="13.5" thickBot="1">
      <c r="B56" s="359"/>
      <c r="C56" s="360"/>
      <c r="D56" s="360"/>
      <c r="E56" s="361"/>
    </row>
  </sheetData>
  <mergeCells count="7">
    <mergeCell ref="B17:E17"/>
    <mergeCell ref="B15:E15"/>
    <mergeCell ref="A2:P2"/>
    <mergeCell ref="A4:P4"/>
    <mergeCell ref="A5:P5"/>
    <mergeCell ref="B16:E16"/>
    <mergeCell ref="A3:P3"/>
  </mergeCells>
  <phoneticPr fontId="2" type="noConversion"/>
  <pageMargins left="0.5" right="0.5" top="0.5" bottom="0.5" header="0.5" footer="0.25"/>
  <pageSetup scale="39" orientation="portrait" r:id="rId1"/>
  <headerFooter alignWithMargins="0">
    <oddFooter>&amp;C&amp;A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N37"/>
  <sheetViews>
    <sheetView view="pageBreakPreview" zoomScale="85" zoomScaleNormal="100" zoomScaleSheetLayoutView="85" workbookViewId="0">
      <selection activeCell="C16" sqref="C16"/>
    </sheetView>
  </sheetViews>
  <sheetFormatPr defaultRowHeight="12.75"/>
  <cols>
    <col min="2" max="2" width="39" customWidth="1"/>
    <col min="3" max="3" width="17.5703125" customWidth="1"/>
    <col min="4" max="4" width="17.42578125" customWidth="1"/>
    <col min="5" max="5" width="13.5703125" customWidth="1"/>
    <col min="6" max="6" width="15.85546875" customWidth="1"/>
    <col min="7" max="7" width="12.5703125" bestFit="1" customWidth="1"/>
    <col min="8" max="8" width="9.42578125" bestFit="1" customWidth="1"/>
    <col min="10" max="10" width="91.42578125" customWidth="1"/>
  </cols>
  <sheetData>
    <row r="1" spans="1:8">
      <c r="A1" s="765" t="s">
        <v>587</v>
      </c>
      <c r="B1" s="765"/>
      <c r="C1" s="765"/>
      <c r="D1" s="765"/>
      <c r="E1" s="765"/>
      <c r="F1" s="765"/>
      <c r="G1" s="765"/>
      <c r="H1" s="295" t="s">
        <v>102</v>
      </c>
    </row>
    <row r="2" spans="1:8">
      <c r="A2" s="710" t="s">
        <v>567</v>
      </c>
      <c r="B2" s="710"/>
      <c r="C2" s="710"/>
      <c r="D2" s="710"/>
      <c r="E2" s="710"/>
      <c r="F2" s="710"/>
      <c r="G2" s="710"/>
      <c r="H2" s="435" t="s">
        <v>102</v>
      </c>
    </row>
    <row r="3" spans="1:8">
      <c r="A3" s="772" t="s">
        <v>46</v>
      </c>
      <c r="B3" s="772"/>
      <c r="C3" s="772"/>
      <c r="D3" s="772"/>
      <c r="E3" s="772"/>
      <c r="F3" s="772"/>
      <c r="G3" s="772"/>
      <c r="H3" s="559"/>
    </row>
    <row r="4" spans="1:8">
      <c r="A4" s="786" t="s">
        <v>1176</v>
      </c>
      <c r="B4" s="786">
        <v>0</v>
      </c>
      <c r="C4" s="786">
        <v>0</v>
      </c>
      <c r="D4" s="786">
        <v>0</v>
      </c>
      <c r="E4" s="786">
        <v>0</v>
      </c>
      <c r="F4" s="786">
        <v>0</v>
      </c>
      <c r="G4" s="786"/>
      <c r="H4" s="559"/>
    </row>
    <row r="5" spans="1:8">
      <c r="A5" s="561"/>
      <c r="B5" s="562"/>
      <c r="C5" s="562"/>
      <c r="D5" s="562"/>
      <c r="E5" s="562"/>
      <c r="F5" s="563"/>
      <c r="G5" s="785" t="s">
        <v>487</v>
      </c>
      <c r="H5" s="785"/>
    </row>
    <row r="6" spans="1:8" ht="76.5">
      <c r="A6" s="564"/>
      <c r="B6" s="565" t="s">
        <v>488</v>
      </c>
      <c r="C6" s="566" t="s">
        <v>1162</v>
      </c>
      <c r="D6" s="566" t="str">
        <f>"Less Excludable Amounts (See NOTE on Line "&amp;A4&amp;")"</f>
        <v>Less Excludable Amounts (See NOTE on Line For the Year Ended December 31, 2023)</v>
      </c>
      <c r="E6" s="566" t="s">
        <v>489</v>
      </c>
      <c r="F6" s="566" t="s">
        <v>490</v>
      </c>
      <c r="G6" s="566" t="s">
        <v>491</v>
      </c>
      <c r="H6" s="566" t="s">
        <v>492</v>
      </c>
    </row>
    <row r="7" spans="1:8">
      <c r="A7" s="564"/>
      <c r="B7" s="567"/>
      <c r="C7" s="568"/>
      <c r="D7" s="568"/>
      <c r="E7" s="568"/>
      <c r="F7" s="563"/>
      <c r="G7" s="563"/>
      <c r="H7" s="563"/>
    </row>
    <row r="8" spans="1:8">
      <c r="A8" s="559"/>
      <c r="B8" s="613" t="s">
        <v>1257</v>
      </c>
      <c r="C8" s="699">
        <v>0</v>
      </c>
      <c r="D8" s="699">
        <v>0</v>
      </c>
      <c r="E8" s="700">
        <v>0</v>
      </c>
      <c r="F8" s="699">
        <v>0</v>
      </c>
      <c r="G8" s="701">
        <v>38353</v>
      </c>
      <c r="H8" s="701">
        <v>41821</v>
      </c>
    </row>
    <row r="9" spans="1:8">
      <c r="A9" s="559"/>
      <c r="B9" s="613" t="s">
        <v>1258</v>
      </c>
      <c r="C9" s="699">
        <v>0</v>
      </c>
      <c r="D9" s="699">
        <v>0</v>
      </c>
      <c r="E9" s="700">
        <v>0</v>
      </c>
      <c r="F9" s="699">
        <v>0</v>
      </c>
      <c r="G9" s="701">
        <v>38504</v>
      </c>
      <c r="H9" s="701">
        <v>42125</v>
      </c>
    </row>
    <row r="10" spans="1:8">
      <c r="A10" s="559"/>
      <c r="B10" s="613" t="s">
        <v>1259</v>
      </c>
      <c r="C10" s="699">
        <v>0</v>
      </c>
      <c r="D10" s="699">
        <v>0</v>
      </c>
      <c r="E10" s="700">
        <v>0</v>
      </c>
      <c r="F10" s="699">
        <v>0</v>
      </c>
      <c r="G10" s="701">
        <v>38596</v>
      </c>
      <c r="H10" s="701">
        <v>42248</v>
      </c>
    </row>
    <row r="11" spans="1:8">
      <c r="A11" s="559"/>
      <c r="B11" s="613" t="s">
        <v>1260</v>
      </c>
      <c r="C11" s="699">
        <v>37071.705822784803</v>
      </c>
      <c r="D11" s="699">
        <v>0</v>
      </c>
      <c r="E11" s="700">
        <v>37071.705822784803</v>
      </c>
      <c r="F11" s="699">
        <v>345998.7341772152</v>
      </c>
      <c r="G11" s="701">
        <v>37742</v>
      </c>
      <c r="H11" s="701">
        <v>48700</v>
      </c>
    </row>
    <row r="12" spans="1:8">
      <c r="A12" s="559"/>
      <c r="B12" s="613" t="s">
        <v>1261</v>
      </c>
      <c r="C12" s="699">
        <v>-194198.39999999991</v>
      </c>
      <c r="D12" s="699">
        <v>0</v>
      </c>
      <c r="E12" s="700">
        <v>-194198.39999999991</v>
      </c>
      <c r="F12" s="699">
        <v>-2378931.62</v>
      </c>
      <c r="G12" s="701">
        <v>38808</v>
      </c>
      <c r="H12" s="701">
        <v>49766</v>
      </c>
    </row>
    <row r="13" spans="1:8">
      <c r="A13" s="559"/>
      <c r="B13" s="613" t="s">
        <v>1262</v>
      </c>
      <c r="C13" s="699">
        <v>159670.55999999959</v>
      </c>
      <c r="D13" s="699">
        <v>0</v>
      </c>
      <c r="E13" s="700">
        <v>159670.55999999959</v>
      </c>
      <c r="F13" s="699">
        <v>2268651.7400000002</v>
      </c>
      <c r="G13" s="701">
        <v>39508</v>
      </c>
      <c r="H13" s="701">
        <v>50496</v>
      </c>
    </row>
    <row r="14" spans="1:8">
      <c r="A14" s="559"/>
      <c r="B14" s="613" t="s">
        <v>1263</v>
      </c>
      <c r="C14" s="699">
        <v>0</v>
      </c>
      <c r="D14" s="699">
        <v>0</v>
      </c>
      <c r="E14" s="700">
        <v>0</v>
      </c>
      <c r="F14" s="699">
        <v>0</v>
      </c>
      <c r="G14" s="701">
        <v>40322</v>
      </c>
      <c r="H14" s="701">
        <v>42125</v>
      </c>
    </row>
    <row r="15" spans="1:8">
      <c r="A15" s="559"/>
      <c r="B15" s="613" t="s">
        <v>1264</v>
      </c>
      <c r="C15" s="699">
        <v>0</v>
      </c>
      <c r="D15" s="699">
        <v>0</v>
      </c>
      <c r="E15" s="700">
        <v>0</v>
      </c>
      <c r="F15" s="699">
        <v>0</v>
      </c>
      <c r="G15" s="701">
        <v>40603</v>
      </c>
      <c r="H15" s="701">
        <v>44256</v>
      </c>
    </row>
    <row r="16" spans="1:8">
      <c r="A16" s="559"/>
      <c r="B16" s="613" t="s">
        <v>1265</v>
      </c>
      <c r="C16" s="699">
        <v>-1059374.2999999998</v>
      </c>
      <c r="D16" s="699">
        <v>0</v>
      </c>
      <c r="E16" s="700">
        <v>-1059374.2999999998</v>
      </c>
      <c r="F16" s="699">
        <v>-7620658.6499999994</v>
      </c>
      <c r="G16" s="701">
        <v>44286</v>
      </c>
      <c r="H16" s="701">
        <v>47938</v>
      </c>
    </row>
    <row r="17" spans="1:8" ht="13.5" thickBot="1">
      <c r="A17" s="559"/>
      <c r="B17" s="615"/>
      <c r="C17" s="620"/>
      <c r="D17" s="620"/>
      <c r="E17" s="621"/>
      <c r="F17" s="622"/>
      <c r="G17" s="621"/>
      <c r="H17" s="623"/>
    </row>
    <row r="18" spans="1:8">
      <c r="B18" s="618" t="s">
        <v>493</v>
      </c>
      <c r="C18" s="619">
        <f>SUM(C8:C16)</f>
        <v>-1056830.4341772152</v>
      </c>
      <c r="D18" s="619">
        <f>SUM(D8:D16)</f>
        <v>0</v>
      </c>
      <c r="E18" s="619">
        <f>SUM(E8:E16)</f>
        <v>-1056830.4341772152</v>
      </c>
      <c r="F18" s="614">
        <f>SUM(F8:F16)</f>
        <v>-7384939.7958227843</v>
      </c>
      <c r="G18" s="616"/>
      <c r="H18" s="617"/>
    </row>
    <row r="37" spans="40:40">
      <c r="AN37">
        <v>80</v>
      </c>
    </row>
  </sheetData>
  <mergeCells count="5">
    <mergeCell ref="G5:H5"/>
    <mergeCell ref="A1:G1"/>
    <mergeCell ref="A3:G3"/>
    <mergeCell ref="A4:G4"/>
    <mergeCell ref="A2:G2"/>
  </mergeCells>
  <phoneticPr fontId="2" type="noConversion"/>
  <pageMargins left="0.5" right="0.5" top="0.5" bottom="0.5" header="0.5" footer="0.25"/>
  <pageSetup scale="67" orientation="portrait" r:id="rId1"/>
  <headerFooter alignWithMargins="0">
    <oddFooter>&amp;C&amp;A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S71"/>
  <sheetViews>
    <sheetView showGridLines="0" view="pageBreakPreview" topLeftCell="A36" zoomScale="85" zoomScaleNormal="100" zoomScaleSheetLayoutView="85" workbookViewId="0">
      <selection activeCell="E40" sqref="E40"/>
    </sheetView>
  </sheetViews>
  <sheetFormatPr defaultColWidth="9.140625" defaultRowHeight="12.75"/>
  <cols>
    <col min="1" max="1" width="9.140625" style="7"/>
    <col min="2" max="2" width="9.5703125" style="7" customWidth="1"/>
    <col min="3" max="3" width="8.42578125" style="7" bestFit="1" customWidth="1"/>
    <col min="4" max="4" width="3" style="7" customWidth="1"/>
    <col min="5" max="5" width="15.5703125" style="7" customWidth="1"/>
    <col min="6" max="6" width="16.85546875" style="7" customWidth="1"/>
    <col min="7" max="7" width="15" style="7" customWidth="1"/>
    <col min="8" max="8" width="5.42578125" style="7" customWidth="1"/>
    <col min="9" max="10" width="11.42578125" style="7" customWidth="1"/>
    <col min="11" max="16384" width="9.140625" style="7"/>
  </cols>
  <sheetData>
    <row r="1" spans="1:11">
      <c r="A1" s="7" t="s">
        <v>102</v>
      </c>
      <c r="G1" s="206" t="s">
        <v>102</v>
      </c>
    </row>
    <row r="2" spans="1:11">
      <c r="A2" s="787" t="s">
        <v>587</v>
      </c>
      <c r="B2" s="715"/>
      <c r="C2" s="715"/>
      <c r="D2" s="715"/>
      <c r="E2" s="715"/>
      <c r="F2" s="715"/>
      <c r="G2" s="715"/>
      <c r="H2" s="715"/>
      <c r="I2" s="715"/>
      <c r="J2" s="715"/>
      <c r="K2" s="715"/>
    </row>
    <row r="3" spans="1:11">
      <c r="A3" s="725" t="s">
        <v>567</v>
      </c>
      <c r="B3" s="715"/>
      <c r="C3" s="715"/>
      <c r="D3" s="715"/>
      <c r="E3" s="715"/>
      <c r="F3" s="715"/>
      <c r="G3" s="715"/>
      <c r="H3" s="715"/>
      <c r="I3" s="715"/>
      <c r="J3" s="715"/>
      <c r="K3" s="715"/>
    </row>
    <row r="4" spans="1:11">
      <c r="A4" s="787" t="s">
        <v>49</v>
      </c>
      <c r="B4" s="715"/>
      <c r="C4" s="715"/>
      <c r="D4" s="715"/>
      <c r="E4" s="715"/>
      <c r="F4" s="715"/>
      <c r="G4" s="715"/>
      <c r="H4" s="715"/>
      <c r="I4" s="715"/>
      <c r="J4" s="715"/>
      <c r="K4" s="715"/>
    </row>
    <row r="5" spans="1:11">
      <c r="A5" s="788" t="s">
        <v>1182</v>
      </c>
      <c r="B5" s="715"/>
      <c r="C5" s="715"/>
      <c r="D5" s="715"/>
      <c r="E5" s="715"/>
      <c r="F5" s="715"/>
      <c r="G5" s="715"/>
      <c r="H5" s="715"/>
      <c r="I5" s="715"/>
      <c r="J5" s="715"/>
      <c r="K5" s="715"/>
    </row>
    <row r="7" spans="1:11">
      <c r="F7" s="9" t="s">
        <v>623</v>
      </c>
    </row>
    <row r="8" spans="1:11" s="9" customFormat="1" ht="14.25">
      <c r="B8" s="130" t="s">
        <v>192</v>
      </c>
      <c r="C8" s="130"/>
      <c r="D8" s="131"/>
      <c r="E8" s="132" t="s">
        <v>119</v>
      </c>
      <c r="F8" s="132" t="s">
        <v>838</v>
      </c>
      <c r="G8" s="133" t="s">
        <v>91</v>
      </c>
      <c r="I8" s="140" t="s">
        <v>839</v>
      </c>
    </row>
    <row r="9" spans="1:11">
      <c r="B9" s="19">
        <v>500</v>
      </c>
      <c r="C9" s="19" t="s">
        <v>95</v>
      </c>
      <c r="D9" s="19"/>
      <c r="E9" s="12">
        <f>'WP-10a'!D9</f>
        <v>17922328</v>
      </c>
      <c r="F9" s="12"/>
      <c r="G9" s="14">
        <f>+E9-F9</f>
        <v>17922328</v>
      </c>
      <c r="I9" s="7" t="s">
        <v>807</v>
      </c>
      <c r="J9" s="6"/>
    </row>
    <row r="10" spans="1:11">
      <c r="B10" s="19">
        <v>502</v>
      </c>
      <c r="C10" s="19" t="s">
        <v>95</v>
      </c>
      <c r="D10" s="19"/>
      <c r="E10" s="12">
        <f>'WP-10a'!D11</f>
        <v>45411487</v>
      </c>
      <c r="F10" s="12"/>
      <c r="G10" s="14">
        <f t="shared" ref="G10:G53" si="0">+E10-F10</f>
        <v>45411487</v>
      </c>
      <c r="I10" s="7" t="s">
        <v>667</v>
      </c>
      <c r="J10" s="6"/>
    </row>
    <row r="11" spans="1:11">
      <c r="B11" s="19">
        <v>503</v>
      </c>
      <c r="C11" s="19" t="s">
        <v>96</v>
      </c>
      <c r="D11" s="19"/>
      <c r="E11" s="12">
        <v>0</v>
      </c>
      <c r="F11" s="12"/>
      <c r="G11" s="14">
        <f t="shared" si="0"/>
        <v>0</v>
      </c>
      <c r="I11" s="7" t="s">
        <v>824</v>
      </c>
      <c r="J11" s="6"/>
    </row>
    <row r="12" spans="1:11">
      <c r="B12" s="19" t="s">
        <v>193</v>
      </c>
      <c r="C12" s="19" t="s">
        <v>96</v>
      </c>
      <c r="D12" s="19"/>
      <c r="E12" s="12">
        <v>0</v>
      </c>
      <c r="F12" s="12"/>
      <c r="G12" s="14">
        <f t="shared" si="0"/>
        <v>0</v>
      </c>
      <c r="I12" s="7" t="s">
        <v>825</v>
      </c>
    </row>
    <row r="13" spans="1:11">
      <c r="B13" s="19">
        <v>505</v>
      </c>
      <c r="C13" s="19" t="s">
        <v>95</v>
      </c>
      <c r="D13" s="19"/>
      <c r="E13" s="12">
        <f>'WP-10a'!D12</f>
        <v>132037</v>
      </c>
      <c r="F13" s="12"/>
      <c r="G13" s="14">
        <f t="shared" si="0"/>
        <v>132037</v>
      </c>
      <c r="I13" s="7" t="s">
        <v>668</v>
      </c>
      <c r="J13" s="6"/>
    </row>
    <row r="14" spans="1:11">
      <c r="B14" s="19">
        <v>506</v>
      </c>
      <c r="C14" s="19" t="s">
        <v>95</v>
      </c>
      <c r="D14" s="19"/>
      <c r="E14" s="12">
        <f>'WP-10a'!D13</f>
        <v>22377898</v>
      </c>
      <c r="F14" s="12">
        <v>0</v>
      </c>
      <c r="G14" s="14">
        <f t="shared" si="0"/>
        <v>22377898</v>
      </c>
      <c r="I14" s="7" t="s">
        <v>669</v>
      </c>
      <c r="J14" s="6"/>
    </row>
    <row r="15" spans="1:11">
      <c r="B15" s="19">
        <v>507</v>
      </c>
      <c r="C15" s="19" t="s">
        <v>95</v>
      </c>
      <c r="D15" s="19"/>
      <c r="E15" s="12">
        <f>'WP-10a'!D14</f>
        <v>40565</v>
      </c>
      <c r="F15" s="12"/>
      <c r="G15" s="14">
        <f t="shared" si="0"/>
        <v>40565</v>
      </c>
      <c r="I15" s="7" t="s">
        <v>670</v>
      </c>
      <c r="J15" s="6"/>
    </row>
    <row r="16" spans="1:11">
      <c r="B16" s="19">
        <v>509</v>
      </c>
      <c r="C16" s="19" t="s">
        <v>96</v>
      </c>
      <c r="D16" s="19"/>
      <c r="E16" s="12">
        <f>'WP-10a'!D15</f>
        <v>1423286</v>
      </c>
      <c r="F16" s="12"/>
      <c r="G16" s="14">
        <f t="shared" si="0"/>
        <v>1423286</v>
      </c>
      <c r="I16" s="7" t="s">
        <v>671</v>
      </c>
      <c r="J16" s="6"/>
    </row>
    <row r="17" spans="2:13">
      <c r="B17" s="19">
        <v>510</v>
      </c>
      <c r="C17" s="19" t="s">
        <v>96</v>
      </c>
      <c r="D17" s="19"/>
      <c r="E17" s="12">
        <f>'WP-10a'!D35</f>
        <v>2983094</v>
      </c>
      <c r="F17" s="12"/>
      <c r="G17" s="14">
        <f t="shared" si="0"/>
        <v>2983094</v>
      </c>
      <c r="I17" s="7" t="s">
        <v>686</v>
      </c>
      <c r="J17" s="13"/>
    </row>
    <row r="18" spans="2:13">
      <c r="B18" s="19">
        <v>511</v>
      </c>
      <c r="C18" s="19" t="s">
        <v>95</v>
      </c>
      <c r="D18" s="19"/>
      <c r="E18" s="12">
        <f>'WP-10a'!D36</f>
        <v>6175854</v>
      </c>
      <c r="F18" s="12"/>
      <c r="G18" s="14">
        <f t="shared" si="0"/>
        <v>6175854</v>
      </c>
      <c r="I18" s="7" t="s">
        <v>687</v>
      </c>
      <c r="J18" s="6"/>
    </row>
    <row r="19" spans="2:13">
      <c r="B19" s="19">
        <v>512</v>
      </c>
      <c r="C19" s="19" t="s">
        <v>96</v>
      </c>
      <c r="D19" s="19"/>
      <c r="E19" s="12">
        <f>'WP-10a'!D37</f>
        <v>49089661</v>
      </c>
      <c r="F19" s="12"/>
      <c r="G19" s="14">
        <f t="shared" si="0"/>
        <v>49089661</v>
      </c>
      <c r="I19" s="7" t="s">
        <v>688</v>
      </c>
      <c r="J19" s="6"/>
      <c r="L19" s="33"/>
      <c r="M19" s="6"/>
    </row>
    <row r="20" spans="2:13">
      <c r="B20" s="19">
        <v>513</v>
      </c>
      <c r="C20" s="19" t="s">
        <v>96</v>
      </c>
      <c r="D20" s="19"/>
      <c r="E20" s="12">
        <f>'WP-10a'!D38</f>
        <v>17932921</v>
      </c>
      <c r="F20" s="12"/>
      <c r="G20" s="14">
        <f t="shared" si="0"/>
        <v>17932921</v>
      </c>
      <c r="I20" s="7" t="s">
        <v>689</v>
      </c>
      <c r="J20" s="6"/>
      <c r="L20" s="33"/>
      <c r="M20" s="6"/>
    </row>
    <row r="21" spans="2:13">
      <c r="B21" s="19">
        <v>514</v>
      </c>
      <c r="C21" s="19" t="s">
        <v>95</v>
      </c>
      <c r="D21" s="19"/>
      <c r="E21" s="12">
        <f>'WP-10a'!D39</f>
        <v>12518832</v>
      </c>
      <c r="F21" s="12"/>
      <c r="G21" s="14">
        <f t="shared" si="0"/>
        <v>12518832</v>
      </c>
      <c r="I21" s="7" t="s">
        <v>690</v>
      </c>
      <c r="J21" s="6"/>
    </row>
    <row r="22" spans="2:13">
      <c r="B22" s="19">
        <v>517</v>
      </c>
      <c r="C22" s="19" t="s">
        <v>95</v>
      </c>
      <c r="D22" s="19"/>
      <c r="E22" s="17">
        <v>0</v>
      </c>
      <c r="F22" s="17"/>
      <c r="G22" s="14">
        <f t="shared" si="0"/>
        <v>0</v>
      </c>
      <c r="I22" s="7" t="s">
        <v>672</v>
      </c>
    </row>
    <row r="23" spans="2:13">
      <c r="B23" s="19">
        <v>519</v>
      </c>
      <c r="C23" s="19" t="s">
        <v>95</v>
      </c>
      <c r="D23" s="19"/>
      <c r="E23" s="17">
        <v>0</v>
      </c>
      <c r="F23" s="17"/>
      <c r="G23" s="14">
        <f t="shared" si="0"/>
        <v>0</v>
      </c>
      <c r="I23" s="7" t="s">
        <v>673</v>
      </c>
      <c r="J23" s="13"/>
    </row>
    <row r="24" spans="2:13">
      <c r="B24" s="19">
        <v>520</v>
      </c>
      <c r="C24" s="19" t="s">
        <v>95</v>
      </c>
      <c r="D24" s="19"/>
      <c r="E24" s="17">
        <v>0</v>
      </c>
      <c r="F24" s="17"/>
      <c r="G24" s="14">
        <f t="shared" si="0"/>
        <v>0</v>
      </c>
      <c r="I24" s="7" t="s">
        <v>674</v>
      </c>
      <c r="J24" s="13"/>
    </row>
    <row r="25" spans="2:13">
      <c r="B25" s="19">
        <v>521</v>
      </c>
      <c r="C25" s="19" t="s">
        <v>95</v>
      </c>
      <c r="D25" s="19"/>
      <c r="E25" s="17">
        <v>0</v>
      </c>
      <c r="F25" s="17"/>
      <c r="G25" s="14">
        <f t="shared" si="0"/>
        <v>0</v>
      </c>
      <c r="I25" s="7" t="s">
        <v>826</v>
      </c>
      <c r="J25" s="2"/>
    </row>
    <row r="26" spans="2:13">
      <c r="B26" s="19" t="s">
        <v>194</v>
      </c>
      <c r="C26" s="19" t="s">
        <v>95</v>
      </c>
      <c r="D26" s="19"/>
      <c r="E26" s="17">
        <v>0</v>
      </c>
      <c r="F26" s="17"/>
      <c r="G26" s="14">
        <f t="shared" si="0"/>
        <v>0</v>
      </c>
      <c r="I26" s="7" t="s">
        <v>827</v>
      </c>
    </row>
    <row r="27" spans="2:13">
      <c r="B27" s="19">
        <v>523</v>
      </c>
      <c r="C27" s="19" t="s">
        <v>95</v>
      </c>
      <c r="D27" s="19"/>
      <c r="E27" s="17">
        <v>0</v>
      </c>
      <c r="F27" s="17"/>
      <c r="G27" s="14">
        <f t="shared" si="0"/>
        <v>0</v>
      </c>
      <c r="I27" s="7" t="s">
        <v>675</v>
      </c>
    </row>
    <row r="28" spans="2:13">
      <c r="B28" s="19">
        <v>524</v>
      </c>
      <c r="C28" s="19" t="s">
        <v>95</v>
      </c>
      <c r="D28" s="19"/>
      <c r="E28" s="17">
        <v>0</v>
      </c>
      <c r="F28" s="17"/>
      <c r="G28" s="14">
        <f t="shared" si="0"/>
        <v>0</v>
      </c>
      <c r="I28" s="7" t="s">
        <v>676</v>
      </c>
    </row>
    <row r="29" spans="2:13">
      <c r="B29" s="19">
        <v>525</v>
      </c>
      <c r="C29" s="19" t="s">
        <v>95</v>
      </c>
      <c r="D29" s="19"/>
      <c r="E29" s="17">
        <v>0</v>
      </c>
      <c r="F29" s="17"/>
      <c r="G29" s="14">
        <f t="shared" si="0"/>
        <v>0</v>
      </c>
      <c r="I29" s="7" t="s">
        <v>837</v>
      </c>
    </row>
    <row r="30" spans="2:13">
      <c r="B30" s="19">
        <v>528</v>
      </c>
      <c r="C30" s="19" t="s">
        <v>96</v>
      </c>
      <c r="D30" s="19"/>
      <c r="E30" s="17">
        <v>0</v>
      </c>
      <c r="F30" s="17"/>
      <c r="G30" s="14">
        <f t="shared" si="0"/>
        <v>0</v>
      </c>
      <c r="I30" s="7" t="s">
        <v>691</v>
      </c>
    </row>
    <row r="31" spans="2:13">
      <c r="B31" s="19">
        <v>529</v>
      </c>
      <c r="C31" s="19" t="s">
        <v>95</v>
      </c>
      <c r="D31" s="19"/>
      <c r="E31" s="17">
        <v>0</v>
      </c>
      <c r="F31" s="17"/>
      <c r="G31" s="14">
        <f t="shared" si="0"/>
        <v>0</v>
      </c>
      <c r="I31" s="7" t="s">
        <v>692</v>
      </c>
    </row>
    <row r="32" spans="2:13">
      <c r="B32" s="19">
        <v>530</v>
      </c>
      <c r="C32" s="19" t="s">
        <v>96</v>
      </c>
      <c r="D32" s="19"/>
      <c r="E32" s="17">
        <v>0</v>
      </c>
      <c r="F32" s="17"/>
      <c r="G32" s="14">
        <f t="shared" si="0"/>
        <v>0</v>
      </c>
      <c r="I32" s="7" t="s">
        <v>693</v>
      </c>
    </row>
    <row r="33" spans="2:9">
      <c r="B33" s="19">
        <v>531</v>
      </c>
      <c r="C33" s="19" t="s">
        <v>96</v>
      </c>
      <c r="D33" s="19"/>
      <c r="E33" s="17">
        <v>0</v>
      </c>
      <c r="F33" s="17"/>
      <c r="G33" s="14">
        <f t="shared" si="0"/>
        <v>0</v>
      </c>
      <c r="I33" s="7" t="s">
        <v>694</v>
      </c>
    </row>
    <row r="34" spans="2:9">
      <c r="B34" s="19">
        <v>532</v>
      </c>
      <c r="C34" s="19" t="s">
        <v>96</v>
      </c>
      <c r="D34" s="19"/>
      <c r="E34" s="17">
        <v>0</v>
      </c>
      <c r="F34" s="17"/>
      <c r="G34" s="14">
        <f t="shared" si="0"/>
        <v>0</v>
      </c>
      <c r="I34" s="7" t="s">
        <v>695</v>
      </c>
    </row>
    <row r="35" spans="2:9">
      <c r="B35" s="19">
        <v>535</v>
      </c>
      <c r="C35" s="19" t="s">
        <v>95</v>
      </c>
      <c r="D35" s="19"/>
      <c r="E35" s="17">
        <f>'WP-10a'!D22</f>
        <v>1669327</v>
      </c>
      <c r="F35" s="17"/>
      <c r="G35" s="14">
        <f t="shared" si="0"/>
        <v>1669327</v>
      </c>
      <c r="I35" s="7" t="s">
        <v>677</v>
      </c>
    </row>
    <row r="36" spans="2:9">
      <c r="B36" s="19">
        <v>536</v>
      </c>
      <c r="C36" s="19" t="s">
        <v>95</v>
      </c>
      <c r="D36" s="19"/>
      <c r="E36" s="17">
        <f>'WP-10a'!D23</f>
        <v>27126</v>
      </c>
      <c r="F36" s="17"/>
      <c r="G36" s="14">
        <f t="shared" si="0"/>
        <v>27126</v>
      </c>
      <c r="I36" s="7" t="s">
        <v>678</v>
      </c>
    </row>
    <row r="37" spans="2:9">
      <c r="B37" s="19">
        <v>537</v>
      </c>
      <c r="C37" s="19" t="s">
        <v>95</v>
      </c>
      <c r="D37" s="19"/>
      <c r="E37" s="17">
        <f>'WP-10a'!D24</f>
        <v>251186</v>
      </c>
      <c r="F37" s="17"/>
      <c r="G37" s="14">
        <f t="shared" si="0"/>
        <v>251186</v>
      </c>
      <c r="I37" s="7" t="s">
        <v>679</v>
      </c>
    </row>
    <row r="38" spans="2:9">
      <c r="B38" s="19">
        <v>538</v>
      </c>
      <c r="C38" s="19" t="s">
        <v>95</v>
      </c>
      <c r="D38" s="19"/>
      <c r="E38" s="17">
        <f>'WP-10a'!D25</f>
        <v>156175</v>
      </c>
      <c r="F38" s="17"/>
      <c r="G38" s="14">
        <f t="shared" si="0"/>
        <v>156175</v>
      </c>
      <c r="I38" s="7" t="s">
        <v>680</v>
      </c>
    </row>
    <row r="39" spans="2:9">
      <c r="B39" s="19">
        <v>539</v>
      </c>
      <c r="C39" s="19" t="s">
        <v>95</v>
      </c>
      <c r="D39" s="19"/>
      <c r="E39" s="17">
        <f>'WP-10a'!D26</f>
        <v>3885244</v>
      </c>
      <c r="F39" s="12"/>
      <c r="G39" s="14">
        <f t="shared" si="0"/>
        <v>3885244</v>
      </c>
      <c r="I39" s="7" t="s">
        <v>681</v>
      </c>
    </row>
    <row r="40" spans="2:9">
      <c r="B40" s="19">
        <v>540</v>
      </c>
      <c r="C40" s="19" t="s">
        <v>95</v>
      </c>
      <c r="D40" s="19"/>
      <c r="E40" s="17">
        <f>'WP-10a'!D27</f>
        <v>346886</v>
      </c>
      <c r="F40" s="17"/>
      <c r="G40" s="14">
        <f t="shared" si="0"/>
        <v>346886</v>
      </c>
      <c r="I40" s="7" t="s">
        <v>810</v>
      </c>
    </row>
    <row r="41" spans="2:9">
      <c r="B41" s="19">
        <v>541</v>
      </c>
      <c r="C41" s="19" t="s">
        <v>95</v>
      </c>
      <c r="D41" s="19"/>
      <c r="E41" s="17">
        <f>'WP-10a'!D45</f>
        <v>187177</v>
      </c>
      <c r="F41" s="17"/>
      <c r="G41" s="14">
        <f t="shared" si="0"/>
        <v>187177</v>
      </c>
      <c r="I41" s="7" t="s">
        <v>696</v>
      </c>
    </row>
    <row r="42" spans="2:9">
      <c r="B42" s="19">
        <v>542</v>
      </c>
      <c r="C42" s="19" t="s">
        <v>95</v>
      </c>
      <c r="D42" s="19"/>
      <c r="E42" s="17">
        <f>'WP-10a'!D46</f>
        <v>3420508</v>
      </c>
      <c r="F42" s="12"/>
      <c r="G42" s="14">
        <f t="shared" si="0"/>
        <v>3420508</v>
      </c>
      <c r="I42" s="7" t="s">
        <v>697</v>
      </c>
    </row>
    <row r="43" spans="2:9">
      <c r="B43" s="19">
        <v>543</v>
      </c>
      <c r="C43" s="19" t="s">
        <v>95</v>
      </c>
      <c r="D43" s="19"/>
      <c r="E43" s="17">
        <f>'WP-10a'!D47</f>
        <v>2542618</v>
      </c>
      <c r="F43" s="17"/>
      <c r="G43" s="14">
        <f t="shared" si="0"/>
        <v>2542618</v>
      </c>
      <c r="I43" s="7" t="s">
        <v>698</v>
      </c>
    </row>
    <row r="44" spans="2:9">
      <c r="B44" s="19">
        <v>544</v>
      </c>
      <c r="C44" s="19" t="s">
        <v>96</v>
      </c>
      <c r="D44" s="19"/>
      <c r="E44" s="17">
        <f>'WP-10a'!D48</f>
        <v>3718571</v>
      </c>
      <c r="F44" s="17"/>
      <c r="G44" s="14">
        <f t="shared" si="0"/>
        <v>3718571</v>
      </c>
      <c r="I44" s="7" t="s">
        <v>699</v>
      </c>
    </row>
    <row r="45" spans="2:9">
      <c r="B45" s="19">
        <v>545</v>
      </c>
      <c r="C45" s="19" t="s">
        <v>95</v>
      </c>
      <c r="D45" s="19"/>
      <c r="E45" s="17">
        <f>'WP-10a'!D49</f>
        <v>241486</v>
      </c>
      <c r="F45" s="17"/>
      <c r="G45" s="14">
        <f t="shared" si="0"/>
        <v>241486</v>
      </c>
      <c r="I45" s="7" t="s">
        <v>700</v>
      </c>
    </row>
    <row r="46" spans="2:9">
      <c r="B46" s="19">
        <v>546</v>
      </c>
      <c r="C46" s="19" t="s">
        <v>95</v>
      </c>
      <c r="D46" s="19"/>
      <c r="E46" s="17">
        <f>'WP-10a'!D28</f>
        <v>148775</v>
      </c>
      <c r="F46" s="17"/>
      <c r="G46" s="14">
        <f t="shared" si="0"/>
        <v>148775</v>
      </c>
      <c r="I46" s="7" t="s">
        <v>682</v>
      </c>
    </row>
    <row r="47" spans="2:9">
      <c r="B47" s="19">
        <v>548</v>
      </c>
      <c r="C47" s="19" t="s">
        <v>95</v>
      </c>
      <c r="D47" s="19"/>
      <c r="E47" s="17">
        <f>'WP-10a'!D30</f>
        <v>612472</v>
      </c>
      <c r="F47" s="17"/>
      <c r="G47" s="14">
        <f t="shared" si="0"/>
        <v>612472</v>
      </c>
      <c r="I47" s="7" t="s">
        <v>684</v>
      </c>
    </row>
    <row r="48" spans="2:9">
      <c r="B48" s="19">
        <v>549</v>
      </c>
      <c r="C48" s="19" t="s">
        <v>95</v>
      </c>
      <c r="D48" s="19"/>
      <c r="E48" s="17">
        <f>'WP-10a'!D31</f>
        <v>281207</v>
      </c>
      <c r="F48" s="17"/>
      <c r="G48" s="14">
        <f t="shared" si="0"/>
        <v>281207</v>
      </c>
      <c r="I48" s="7" t="s">
        <v>685</v>
      </c>
    </row>
    <row r="49" spans="2:19">
      <c r="B49" s="19">
        <v>550</v>
      </c>
      <c r="C49" s="19" t="s">
        <v>95</v>
      </c>
      <c r="D49" s="19"/>
      <c r="E49" s="17">
        <f>'WP-10a'!D32</f>
        <v>10967</v>
      </c>
      <c r="F49" s="17"/>
      <c r="G49" s="14">
        <f t="shared" si="0"/>
        <v>10967</v>
      </c>
      <c r="I49" s="7" t="s">
        <v>828</v>
      </c>
    </row>
    <row r="50" spans="2:19">
      <c r="B50" s="19">
        <v>551</v>
      </c>
      <c r="C50" s="19" t="s">
        <v>95</v>
      </c>
      <c r="D50" s="19"/>
      <c r="E50" s="11">
        <v>0</v>
      </c>
      <c r="F50" s="11"/>
      <c r="G50" s="14">
        <f t="shared" si="0"/>
        <v>0</v>
      </c>
      <c r="I50" s="7" t="s">
        <v>701</v>
      </c>
    </row>
    <row r="51" spans="2:19">
      <c r="B51" s="19">
        <v>552</v>
      </c>
      <c r="C51" s="19" t="s">
        <v>95</v>
      </c>
      <c r="D51" s="19"/>
      <c r="E51" s="17">
        <v>0</v>
      </c>
      <c r="F51" s="17"/>
      <c r="G51" s="14">
        <f t="shared" si="0"/>
        <v>0</v>
      </c>
      <c r="I51" s="7" t="s">
        <v>829</v>
      </c>
    </row>
    <row r="52" spans="2:19">
      <c r="B52" s="19">
        <v>553</v>
      </c>
      <c r="C52" s="19" t="s">
        <v>95</v>
      </c>
      <c r="D52" s="19"/>
      <c r="E52" s="17">
        <f>'WP-10a'!D51</f>
        <v>707617</v>
      </c>
      <c r="F52" s="17"/>
      <c r="G52" s="14">
        <f t="shared" si="0"/>
        <v>707617</v>
      </c>
      <c r="I52" s="7" t="s">
        <v>702</v>
      </c>
    </row>
    <row r="53" spans="2:19">
      <c r="B53" s="19">
        <v>554</v>
      </c>
      <c r="C53" s="19" t="s">
        <v>95</v>
      </c>
      <c r="D53" s="19"/>
      <c r="E53" s="17">
        <f>'WP-10a'!D52</f>
        <v>0</v>
      </c>
      <c r="F53" s="17"/>
      <c r="G53" s="14">
        <f t="shared" si="0"/>
        <v>0</v>
      </c>
      <c r="I53" s="7" t="s">
        <v>811</v>
      </c>
    </row>
    <row r="54" spans="2:19">
      <c r="B54" s="19"/>
      <c r="C54" s="19"/>
      <c r="D54" s="19"/>
      <c r="E54" s="17"/>
      <c r="F54" s="17"/>
      <c r="G54" s="20"/>
    </row>
    <row r="55" spans="2:19">
      <c r="B55" s="19"/>
      <c r="C55" s="19"/>
      <c r="D55" s="19"/>
      <c r="E55" s="17"/>
      <c r="F55" s="17"/>
      <c r="G55" s="20"/>
    </row>
    <row r="56" spans="2:19">
      <c r="B56" s="19"/>
      <c r="C56" s="19"/>
      <c r="D56" s="19"/>
      <c r="E56" s="17"/>
      <c r="F56" s="17"/>
      <c r="G56" s="20"/>
    </row>
    <row r="57" spans="2:19">
      <c r="B57" s="7" t="s">
        <v>91</v>
      </c>
      <c r="E57" s="134">
        <f>+E9+E10+E11-E12+E13+E14+E15+E16+E17+E18+E19+E20+E21+E22+E23+E24+E25-E26+E27+E28+E29+E30+E31+E32+E33+E34+E35+E36+E37+E38+E39+E40+E41+E42+E43+E44+E45+E46+E47+E48+E49+E50+E51+E52+E53</f>
        <v>194215305</v>
      </c>
      <c r="F57" s="134">
        <f>+F9+F10+F11-F12+F13+F14+F15+F16+F17+F18+F19+F20+F21+F22+F23+F24+F25-F26+F27+F28+F29+F30+F31+F32+F33+F34+F35+F36+F37+F38+F39+F40+F41+F42+F43+F44+F45+F46+F47+F48+F49+F50+F51+F52+F53</f>
        <v>0</v>
      </c>
      <c r="G57" s="134">
        <f>+G9+G10+G11-G12+G13+G14+G15+G16+G17+G18+G19+G20+G21+G22+G23+G24+G25-G26+G27+G28+G29+G30+G31+G32+G33+G34+G35+G36+G37+G38+G39+G40+G41+G42+G43+G44+G45+G46+G47+G48+G49+G50+G51+G52+G53</f>
        <v>194215305</v>
      </c>
    </row>
    <row r="58" spans="2:19">
      <c r="E58" s="16"/>
      <c r="F58" s="16"/>
      <c r="G58" s="16"/>
    </row>
    <row r="59" spans="2:19">
      <c r="E59" s="13"/>
      <c r="F59" s="13"/>
      <c r="G59" s="13"/>
    </row>
    <row r="60" spans="2:19">
      <c r="B60" s="7" t="s">
        <v>95</v>
      </c>
      <c r="E60" s="13">
        <f>+E9+E10+E13+E14+E15+E18+E21+E35+E36+E37+E38+E39+E40+E41+E42+E43+E45+E46+E47+E48+E50+E52+E53</f>
        <v>119056805</v>
      </c>
      <c r="F60" s="13">
        <f>+F9+F10+F13+F14+F15+F18+F21+F35+F36+F37+F38+F39+F40+F41+F42+F43+F45+F46+F47+F48+F50+F52+F53</f>
        <v>0</v>
      </c>
      <c r="G60" s="13">
        <f>+G9+G10+G13+G14+G15+G18+G21+G35+G36+G37+G38+G39+G40+G41+G42+G43+G45+G46+G47+G48+G50+G52+G53</f>
        <v>119056805</v>
      </c>
      <c r="H60" s="135"/>
      <c r="I60" s="9"/>
    </row>
    <row r="61" spans="2:19">
      <c r="B61" s="7" t="s">
        <v>195</v>
      </c>
      <c r="E61" s="22">
        <f>+E16+E17+E19+E20+E44</f>
        <v>75147533</v>
      </c>
      <c r="F61" s="22">
        <f>+F16+F17+F19+F20+F44</f>
        <v>0</v>
      </c>
      <c r="G61" s="22">
        <f>+G16+G17+G19+G20+G44</f>
        <v>75147533</v>
      </c>
      <c r="H61" s="135"/>
      <c r="I61" s="27"/>
      <c r="J61" s="13"/>
    </row>
    <row r="62" spans="2:19">
      <c r="B62" s="7" t="s">
        <v>92</v>
      </c>
      <c r="E62" s="13">
        <f>SUM(E60:E61)</f>
        <v>194204338</v>
      </c>
      <c r="F62" s="13">
        <f>SUM(F60:F61)</f>
        <v>0</v>
      </c>
      <c r="G62" s="13">
        <f>SUM(G60:G61)</f>
        <v>194204338</v>
      </c>
      <c r="S62" s="7" t="s">
        <v>556</v>
      </c>
    </row>
    <row r="63" spans="2:19">
      <c r="E63" s="13"/>
      <c r="F63" s="13"/>
      <c r="G63" s="13"/>
    </row>
    <row r="64" spans="2:19">
      <c r="B64" s="7" t="s">
        <v>95</v>
      </c>
      <c r="C64" s="7" t="s">
        <v>198</v>
      </c>
      <c r="E64"/>
      <c r="F64"/>
      <c r="G64" s="137">
        <f>ROUND(G60/G62,5)</f>
        <v>0.61304999999999998</v>
      </c>
    </row>
    <row r="65" spans="1:7">
      <c r="B65" s="7" t="s">
        <v>195</v>
      </c>
      <c r="C65" s="138" t="s">
        <v>198</v>
      </c>
      <c r="D65" s="65"/>
      <c r="E65"/>
      <c r="F65"/>
      <c r="G65" s="139">
        <f>ROUND(G61/G62,5)</f>
        <v>0.38695000000000002</v>
      </c>
    </row>
    <row r="66" spans="1:7">
      <c r="B66" s="7" t="s">
        <v>92</v>
      </c>
      <c r="C66" s="7" t="s">
        <v>198</v>
      </c>
      <c r="E66"/>
      <c r="F66"/>
      <c r="G66" s="137">
        <f>SUM(G64:G65)</f>
        <v>1</v>
      </c>
    </row>
    <row r="67" spans="1:7">
      <c r="E67" s="136"/>
      <c r="F67" s="136"/>
    </row>
    <row r="69" spans="1:7">
      <c r="A69" s="141" t="s">
        <v>268</v>
      </c>
      <c r="E69" s="137"/>
      <c r="F69" s="137"/>
      <c r="G69" s="13"/>
    </row>
    <row r="70" spans="1:7" ht="14.25">
      <c r="A70" s="380" t="s">
        <v>841</v>
      </c>
    </row>
    <row r="71" spans="1:7" ht="14.25">
      <c r="A71" s="7" t="s">
        <v>840</v>
      </c>
    </row>
  </sheetData>
  <mergeCells count="4">
    <mergeCell ref="A2:K2"/>
    <mergeCell ref="A3:K3"/>
    <mergeCell ref="A4:K4"/>
    <mergeCell ref="A5:K5"/>
  </mergeCells>
  <phoneticPr fontId="2" type="noConversion"/>
  <pageMargins left="0.5" right="0.5" top="0.5" bottom="0.5" header="0.5" footer="0.25"/>
  <pageSetup scale="71" orientation="portrait" r:id="rId1"/>
  <headerFooter alignWithMargins="0">
    <oddFooter>&amp;C&amp;A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O15"/>
  <sheetViews>
    <sheetView showGridLines="0" zoomScaleNormal="100" workbookViewId="0">
      <selection activeCell="P12" sqref="P12"/>
    </sheetView>
  </sheetViews>
  <sheetFormatPr defaultColWidth="17.85546875" defaultRowHeight="12.75"/>
  <cols>
    <col min="1" max="1" width="29.42578125" style="24" customWidth="1"/>
    <col min="2" max="2" width="2.140625" style="24" customWidth="1"/>
    <col min="3" max="14" width="13.42578125" style="24" customWidth="1"/>
    <col min="15" max="15" width="15" style="24" bestFit="1" customWidth="1"/>
    <col min="16" max="16" width="9.85546875" style="24" customWidth="1"/>
    <col min="17" max="17" width="8.140625" style="24" bestFit="1" customWidth="1"/>
    <col min="18" max="16384" width="17.85546875" style="24"/>
  </cols>
  <sheetData>
    <row r="1" spans="1:15">
      <c r="A1" s="715" t="s">
        <v>587</v>
      </c>
      <c r="B1" s="715"/>
      <c r="C1" s="715"/>
      <c r="D1" s="715"/>
      <c r="E1" s="715"/>
      <c r="F1" s="715"/>
      <c r="G1" s="241"/>
      <c r="H1" s="241"/>
    </row>
    <row r="2" spans="1:15">
      <c r="A2" s="722" t="s">
        <v>567</v>
      </c>
      <c r="B2" s="715"/>
      <c r="C2" s="715"/>
      <c r="D2" s="715"/>
      <c r="E2" s="715"/>
      <c r="F2" s="715"/>
      <c r="G2" s="241"/>
      <c r="H2" s="241"/>
    </row>
    <row r="3" spans="1:15">
      <c r="A3" s="715" t="s">
        <v>582</v>
      </c>
      <c r="B3" s="715"/>
      <c r="C3" s="715"/>
      <c r="D3" s="715"/>
      <c r="E3" s="715"/>
      <c r="F3" s="715"/>
      <c r="G3" s="241"/>
      <c r="H3" s="241"/>
    </row>
    <row r="4" spans="1:15">
      <c r="A4" s="719" t="s">
        <v>102</v>
      </c>
      <c r="B4" s="719"/>
      <c r="C4" s="719"/>
      <c r="D4" s="719"/>
      <c r="E4" s="719"/>
      <c r="F4" s="719"/>
      <c r="G4" s="292"/>
    </row>
    <row r="5" spans="1:15">
      <c r="A5" s="789" t="s">
        <v>102</v>
      </c>
      <c r="B5" s="789"/>
      <c r="C5" s="789"/>
      <c r="D5" s="789"/>
      <c r="E5" s="789"/>
      <c r="F5" s="789"/>
      <c r="G5" s="789"/>
      <c r="H5" s="789"/>
      <c r="I5" s="789"/>
      <c r="J5" s="789"/>
      <c r="K5" s="789"/>
      <c r="L5" s="789"/>
      <c r="M5" s="789"/>
      <c r="N5" s="789"/>
      <c r="O5" s="789"/>
    </row>
    <row r="6" spans="1:15">
      <c r="A6" s="719" t="s">
        <v>102</v>
      </c>
      <c r="B6" s="719"/>
      <c r="C6" s="719"/>
      <c r="D6" s="719"/>
      <c r="E6" s="719"/>
      <c r="F6" s="719"/>
      <c r="G6" s="719"/>
      <c r="H6" s="719"/>
      <c r="I6" s="719"/>
      <c r="J6" s="719"/>
      <c r="K6" s="719"/>
      <c r="L6" s="719"/>
      <c r="M6" s="719"/>
      <c r="N6" s="719"/>
      <c r="O6" s="719"/>
    </row>
    <row r="7" spans="1:15">
      <c r="A7" s="26"/>
      <c r="B7" s="26"/>
    </row>
    <row r="8" spans="1:15">
      <c r="A8" t="s">
        <v>581</v>
      </c>
      <c r="B8" s="26"/>
    </row>
    <row r="9" spans="1:15">
      <c r="C9"/>
      <c r="D9"/>
      <c r="E9"/>
      <c r="F9"/>
      <c r="G9"/>
      <c r="H9"/>
      <c r="I9"/>
      <c r="J9"/>
      <c r="K9"/>
      <c r="L9"/>
      <c r="M9"/>
      <c r="N9"/>
      <c r="O9"/>
    </row>
    <row r="10" spans="1:15">
      <c r="A10"/>
      <c r="B10"/>
      <c r="C10"/>
      <c r="D10" s="25"/>
      <c r="E10" s="25"/>
      <c r="F10" s="25"/>
      <c r="G10" s="25"/>
      <c r="H10" s="25"/>
      <c r="I10" s="25"/>
      <c r="J10" s="25"/>
      <c r="K10" s="25"/>
      <c r="L10" s="25"/>
    </row>
    <row r="11" spans="1:15">
      <c r="A11"/>
      <c r="B11"/>
      <c r="C11"/>
      <c r="D11" s="25"/>
      <c r="E11" s="25"/>
      <c r="F11" s="25"/>
      <c r="G11" s="25"/>
      <c r="H11" s="25"/>
      <c r="I11" s="25"/>
      <c r="J11" s="25"/>
      <c r="K11" s="25"/>
      <c r="L11" s="25"/>
    </row>
    <row r="12" spans="1:15">
      <c r="A12"/>
      <c r="B12"/>
      <c r="C12"/>
      <c r="D12" s="25"/>
      <c r="E12" s="25"/>
      <c r="F12" s="25"/>
      <c r="G12" s="25"/>
      <c r="H12" s="25"/>
      <c r="I12" s="25"/>
      <c r="J12" s="25"/>
      <c r="K12" s="25"/>
      <c r="L12" s="25"/>
    </row>
    <row r="13" spans="1:15">
      <c r="A13"/>
      <c r="B13"/>
      <c r="C13"/>
      <c r="D13" s="25"/>
      <c r="E13" s="25"/>
      <c r="F13" s="25"/>
      <c r="G13" s="25"/>
      <c r="H13" s="25"/>
      <c r="I13" s="25"/>
      <c r="J13" s="25"/>
      <c r="K13" s="25"/>
      <c r="L13" s="25"/>
    </row>
    <row r="14" spans="1:15">
      <c r="A14"/>
      <c r="B14"/>
      <c r="C14"/>
      <c r="D14" s="25"/>
      <c r="E14" s="25"/>
      <c r="F14" s="25"/>
      <c r="G14" s="25"/>
      <c r="H14" s="25"/>
      <c r="I14" s="25"/>
      <c r="J14" s="25"/>
      <c r="K14" s="25"/>
      <c r="L14" s="25"/>
    </row>
    <row r="15" spans="1:15">
      <c r="A15"/>
      <c r="B15"/>
      <c r="C15"/>
      <c r="D15" s="25"/>
      <c r="E15" s="25"/>
      <c r="F15" s="25"/>
      <c r="G15" s="25"/>
      <c r="H15" s="25"/>
      <c r="I15" s="25"/>
      <c r="J15" s="25"/>
      <c r="K15" s="25"/>
      <c r="L15" s="25"/>
    </row>
  </sheetData>
  <mergeCells count="6">
    <mergeCell ref="A5:O5"/>
    <mergeCell ref="A6:O6"/>
    <mergeCell ref="A1:F1"/>
    <mergeCell ref="A2:F2"/>
    <mergeCell ref="A3:F3"/>
    <mergeCell ref="A4:F4"/>
  </mergeCells>
  <phoneticPr fontId="2" type="noConversion"/>
  <pageMargins left="0.5" right="0.5" top="0.5" bottom="0.5" header="0.5" footer="0.25"/>
  <pageSetup scale="86" orientation="portrait" r:id="rId1"/>
  <headerFooter alignWithMargins="0">
    <oddFooter>&amp;C&amp;A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6"/>
  <sheetViews>
    <sheetView workbookViewId="0">
      <selection activeCell="P12" sqref="P12"/>
    </sheetView>
  </sheetViews>
  <sheetFormatPr defaultRowHeight="12.75"/>
  <sheetData>
    <row r="1" spans="1:8">
      <c r="A1" s="715" t="s">
        <v>587</v>
      </c>
      <c r="B1" s="715"/>
      <c r="C1" s="715"/>
      <c r="D1" s="715"/>
      <c r="E1" s="715"/>
      <c r="F1" s="715"/>
      <c r="G1" s="715"/>
      <c r="H1" s="715"/>
    </row>
    <row r="2" spans="1:8">
      <c r="A2" s="722" t="s">
        <v>567</v>
      </c>
      <c r="B2" s="715"/>
      <c r="C2" s="715"/>
      <c r="D2" s="715"/>
      <c r="E2" s="715"/>
      <c r="F2" s="715"/>
      <c r="G2" s="715"/>
      <c r="H2" s="715"/>
    </row>
    <row r="3" spans="1:8">
      <c r="A3" s="715" t="s">
        <v>60</v>
      </c>
      <c r="B3" s="715"/>
      <c r="C3" s="715"/>
      <c r="D3" s="715"/>
      <c r="E3" s="715"/>
      <c r="F3" s="715"/>
      <c r="G3" s="715"/>
      <c r="H3" s="715"/>
    </row>
    <row r="6" spans="1:8">
      <c r="B6" t="s">
        <v>581</v>
      </c>
    </row>
  </sheetData>
  <mergeCells count="3">
    <mergeCell ref="A1:H1"/>
    <mergeCell ref="A2:H2"/>
    <mergeCell ref="A3:H3"/>
  </mergeCells>
  <phoneticPr fontId="2" type="noConversion"/>
  <pageMargins left="0.5" right="0.5" top="0.5" bottom="0.5" header="0.5" footer="0.25"/>
  <pageSetup scale="86" orientation="portrait" r:id="rId1"/>
  <headerFooter alignWithMargins="0">
    <oddFooter>&amp;C&amp;A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H20"/>
  <sheetViews>
    <sheetView showGridLines="0" view="pageBreakPreview" zoomScaleNormal="100" zoomScaleSheetLayoutView="100" workbookViewId="0">
      <selection activeCell="C11" sqref="C11"/>
    </sheetView>
  </sheetViews>
  <sheetFormatPr defaultColWidth="11" defaultRowHeight="12.75"/>
  <cols>
    <col min="1" max="1" width="16.5703125" style="124" customWidth="1"/>
    <col min="2" max="2" width="16.85546875" style="124" customWidth="1"/>
    <col min="3" max="3" width="16.42578125" style="124" customWidth="1"/>
    <col min="4" max="4" width="18" style="124" customWidth="1"/>
    <col min="5" max="5" width="20.42578125" style="124" customWidth="1"/>
    <col min="6" max="6" width="5.5703125" style="124" customWidth="1"/>
    <col min="7" max="8" width="17.85546875" style="124" customWidth="1"/>
    <col min="9" max="16384" width="11" style="124"/>
  </cols>
  <sheetData>
    <row r="1" spans="1:8">
      <c r="F1" s="299" t="s">
        <v>102</v>
      </c>
    </row>
    <row r="2" spans="1:8">
      <c r="A2" s="789" t="s">
        <v>587</v>
      </c>
      <c r="B2" s="715"/>
      <c r="C2" s="715"/>
      <c r="D2" s="715"/>
      <c r="E2" s="715"/>
      <c r="F2" s="715"/>
    </row>
    <row r="3" spans="1:8">
      <c r="A3" s="789" t="s">
        <v>50</v>
      </c>
      <c r="B3" s="715"/>
      <c r="C3" s="715"/>
      <c r="D3" s="715"/>
      <c r="E3" s="715"/>
      <c r="F3" s="715"/>
    </row>
    <row r="4" spans="1:8">
      <c r="A4" s="789" t="s">
        <v>51</v>
      </c>
      <c r="B4" s="715"/>
      <c r="C4" s="715"/>
      <c r="D4" s="715"/>
      <c r="E4" s="715"/>
      <c r="F4" s="715"/>
    </row>
    <row r="5" spans="1:8">
      <c r="A5" s="790" t="s">
        <v>1176</v>
      </c>
      <c r="B5" s="715"/>
      <c r="C5" s="715"/>
      <c r="D5" s="715"/>
      <c r="E5" s="715"/>
      <c r="F5" s="715"/>
    </row>
    <row r="7" spans="1:8">
      <c r="D7" s="109" t="s">
        <v>98</v>
      </c>
      <c r="E7" s="109" t="s">
        <v>624</v>
      </c>
    </row>
    <row r="8" spans="1:8" ht="14.25">
      <c r="A8" s="125" t="s">
        <v>97</v>
      </c>
      <c r="B8" s="257" t="s">
        <v>498</v>
      </c>
      <c r="C8" s="354" t="s">
        <v>499</v>
      </c>
      <c r="D8" s="354" t="s">
        <v>630</v>
      </c>
      <c r="E8" s="116" t="s">
        <v>625</v>
      </c>
      <c r="F8" s="109"/>
      <c r="G8" s="109"/>
    </row>
    <row r="9" spans="1:8">
      <c r="A9" s="125"/>
      <c r="B9" s="258"/>
      <c r="C9" s="116"/>
      <c r="D9" s="116"/>
      <c r="E9" s="116"/>
      <c r="F9" s="109"/>
      <c r="G9" s="109"/>
    </row>
    <row r="10" spans="1:8">
      <c r="A10" s="28">
        <v>45261</v>
      </c>
      <c r="B10" s="102">
        <v>65624304</v>
      </c>
      <c r="C10" s="102">
        <v>456340836</v>
      </c>
      <c r="D10" s="102">
        <v>0</v>
      </c>
      <c r="E10" s="103">
        <f>+B10+C10+D10</f>
        <v>521965140</v>
      </c>
      <c r="F10" s="126"/>
      <c r="G10" s="127"/>
      <c r="H10" s="128"/>
    </row>
    <row r="11" spans="1:8">
      <c r="A11" s="129" t="s">
        <v>92</v>
      </c>
      <c r="B11" s="104">
        <f>SUM(B10:B10)</f>
        <v>65624304</v>
      </c>
      <c r="C11" s="104">
        <f>SUM(C10:C10)</f>
        <v>456340836</v>
      </c>
      <c r="D11" s="104">
        <f>SUM(D10:D10)</f>
        <v>0</v>
      </c>
      <c r="E11" s="104">
        <f>SUM(E10:E10)</f>
        <v>521965140</v>
      </c>
      <c r="F11" s="128" t="s">
        <v>102</v>
      </c>
      <c r="G11" s="128"/>
      <c r="H11" s="128"/>
    </row>
    <row r="12" spans="1:8">
      <c r="C12" s="128"/>
      <c r="D12" s="128"/>
      <c r="E12" s="128" t="s">
        <v>102</v>
      </c>
    </row>
    <row r="13" spans="1:8">
      <c r="A13" s="109"/>
      <c r="B13" s="692" t="s">
        <v>1151</v>
      </c>
      <c r="C13" s="692" t="s">
        <v>1152</v>
      </c>
      <c r="D13" s="692" t="s">
        <v>813</v>
      </c>
      <c r="E13" s="692" t="s">
        <v>1153</v>
      </c>
      <c r="G13" s="129" t="s">
        <v>102</v>
      </c>
    </row>
    <row r="16" spans="1:8">
      <c r="A16" s="193" t="s">
        <v>268</v>
      </c>
    </row>
    <row r="17" spans="1:5" ht="14.25">
      <c r="A17" s="194" t="s">
        <v>443</v>
      </c>
    </row>
    <row r="19" spans="1:5" ht="14.25" customHeight="1">
      <c r="A19" s="791" t="s">
        <v>660</v>
      </c>
      <c r="B19" s="791"/>
      <c r="C19" s="791"/>
      <c r="D19" s="791"/>
      <c r="E19" s="791"/>
    </row>
    <row r="20" spans="1:5">
      <c r="A20" s="791"/>
      <c r="B20" s="791"/>
      <c r="C20" s="791"/>
      <c r="D20" s="791"/>
      <c r="E20" s="791"/>
    </row>
  </sheetData>
  <mergeCells count="5">
    <mergeCell ref="A2:F2"/>
    <mergeCell ref="A3:F3"/>
    <mergeCell ref="A4:F4"/>
    <mergeCell ref="A5:F5"/>
    <mergeCell ref="A19:E20"/>
  </mergeCells>
  <phoneticPr fontId="2" type="noConversion"/>
  <pageMargins left="0.5" right="0.5" top="0.5" bottom="0.5" header="0.5" footer="0.25"/>
  <pageSetup scale="86" orientation="portrait" r:id="rId1"/>
  <headerFooter alignWithMargins="0">
    <oddFooter>&amp;C&amp;A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H19"/>
  <sheetViews>
    <sheetView showGridLines="0" view="pageBreakPreview" zoomScaleNormal="100" zoomScaleSheetLayoutView="100" workbookViewId="0">
      <selection activeCell="B28" sqref="B28"/>
    </sheetView>
  </sheetViews>
  <sheetFormatPr defaultColWidth="11" defaultRowHeight="12.75"/>
  <cols>
    <col min="1" max="1" width="17.140625" style="111" customWidth="1"/>
    <col min="2" max="2" width="16.85546875" style="111" customWidth="1"/>
    <col min="3" max="3" width="13.5703125" style="111" bestFit="1" customWidth="1"/>
    <col min="4" max="4" width="18.5703125" style="111" customWidth="1"/>
    <col min="5" max="5" width="22" style="111" customWidth="1"/>
    <col min="6" max="8" width="17.85546875" style="111" customWidth="1"/>
    <col min="9" max="16384" width="11" style="111"/>
  </cols>
  <sheetData>
    <row r="1" spans="1:8">
      <c r="F1" s="300" t="s">
        <v>102</v>
      </c>
    </row>
    <row r="2" spans="1:8">
      <c r="A2" s="792" t="s">
        <v>587</v>
      </c>
      <c r="B2" s="715"/>
      <c r="C2" s="715"/>
      <c r="D2" s="715"/>
      <c r="E2" s="715"/>
      <c r="F2" s="300" t="s">
        <v>102</v>
      </c>
    </row>
    <row r="3" spans="1:8">
      <c r="A3" s="789" t="s">
        <v>50</v>
      </c>
      <c r="B3" s="715"/>
      <c r="C3" s="715"/>
      <c r="D3" s="715"/>
      <c r="E3" s="715"/>
    </row>
    <row r="4" spans="1:8">
      <c r="A4" s="81" t="s">
        <v>52</v>
      </c>
      <c r="B4" s="112"/>
      <c r="C4" s="112"/>
      <c r="D4" s="82"/>
      <c r="E4" s="82"/>
    </row>
    <row r="5" spans="1:8">
      <c r="A5" s="113" t="s">
        <v>1176</v>
      </c>
      <c r="B5" s="114"/>
      <c r="C5" s="114"/>
      <c r="D5" s="82"/>
      <c r="E5" s="82"/>
    </row>
    <row r="6" spans="1:8">
      <c r="A6" s="113"/>
      <c r="B6" s="114"/>
      <c r="C6" s="114"/>
      <c r="D6" s="82"/>
      <c r="E6" s="82"/>
    </row>
    <row r="7" spans="1:8">
      <c r="C7" s="259" t="s">
        <v>102</v>
      </c>
    </row>
    <row r="8" spans="1:8">
      <c r="C8" s="259" t="s">
        <v>548</v>
      </c>
      <c r="H8" s="111" t="s">
        <v>102</v>
      </c>
    </row>
    <row r="9" spans="1:8" ht="14.25">
      <c r="A9" s="115" t="s">
        <v>97</v>
      </c>
      <c r="B9" s="116" t="s">
        <v>500</v>
      </c>
      <c r="C9" s="260" t="s">
        <v>562</v>
      </c>
      <c r="D9" s="116" t="s">
        <v>499</v>
      </c>
      <c r="E9" s="117" t="s">
        <v>92</v>
      </c>
      <c r="G9" s="111" t="s">
        <v>102</v>
      </c>
    </row>
    <row r="10" spans="1:8">
      <c r="A10" s="523">
        <v>45261</v>
      </c>
      <c r="B10" s="524">
        <v>6432482</v>
      </c>
      <c r="C10" s="524">
        <v>8295839</v>
      </c>
      <c r="D10" s="524">
        <v>73918564</v>
      </c>
      <c r="E10" s="121">
        <f>SUM(B10:D10)</f>
        <v>88646885</v>
      </c>
      <c r="F10" s="118"/>
      <c r="G10" s="119"/>
      <c r="H10" s="119"/>
    </row>
    <row r="11" spans="1:8">
      <c r="B11" s="122"/>
      <c r="C11" s="122"/>
      <c r="D11" s="122"/>
      <c r="E11" s="122"/>
      <c r="F11" s="122"/>
    </row>
    <row r="12" spans="1:8" ht="14.25">
      <c r="A12" s="115" t="s">
        <v>97</v>
      </c>
      <c r="D12" s="116" t="s">
        <v>622</v>
      </c>
      <c r="E12" s="122"/>
      <c r="F12" s="122" t="s">
        <v>102</v>
      </c>
      <c r="G12" s="120" t="s">
        <v>102</v>
      </c>
    </row>
    <row r="13" spans="1:8">
      <c r="A13" s="523">
        <f>A10</f>
        <v>45261</v>
      </c>
      <c r="D13" s="525">
        <v>4929957.2624999993</v>
      </c>
    </row>
    <row r="15" spans="1:8" ht="14.25">
      <c r="A15" s="194" t="s">
        <v>443</v>
      </c>
    </row>
    <row r="16" spans="1:8">
      <c r="A16" s="123" t="s">
        <v>814</v>
      </c>
    </row>
    <row r="17" spans="1:1">
      <c r="A17" s="124" t="s">
        <v>102</v>
      </c>
    </row>
    <row r="18" spans="1:1" ht="14.25">
      <c r="A18" s="290" t="s">
        <v>634</v>
      </c>
    </row>
    <row r="19" spans="1:1" ht="14.25">
      <c r="A19" s="195" t="s">
        <v>102</v>
      </c>
    </row>
  </sheetData>
  <mergeCells count="2">
    <mergeCell ref="A2:E2"/>
    <mergeCell ref="A3:E3"/>
  </mergeCells>
  <phoneticPr fontId="2" type="noConversion"/>
  <pageMargins left="0.5" right="0.5" top="0.5" bottom="0.5" header="0.5" footer="0.25"/>
  <pageSetup scale="86" orientation="portrait" r:id="rId1"/>
  <headerFooter alignWithMargins="0"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F40"/>
  <sheetViews>
    <sheetView showGridLines="0" view="pageBreakPreview" zoomScale="60" zoomScaleNormal="100" workbookViewId="0">
      <selection activeCell="C73" sqref="C73"/>
    </sheetView>
  </sheetViews>
  <sheetFormatPr defaultColWidth="9.140625" defaultRowHeight="12.75"/>
  <cols>
    <col min="1" max="1" width="28.42578125" style="211" customWidth="1"/>
    <col min="2" max="2" width="27.42578125" style="211" customWidth="1"/>
    <col min="3" max="3" width="22.140625" style="211" customWidth="1"/>
    <col min="4" max="4" width="20" style="211" customWidth="1"/>
    <col min="5" max="5" width="24.5703125" style="211" customWidth="1"/>
    <col min="6" max="6" width="8.5703125" style="211" customWidth="1"/>
    <col min="7" max="16384" width="9.140625" style="211"/>
  </cols>
  <sheetData>
    <row r="1" spans="1:6">
      <c r="A1" s="210" t="s">
        <v>102</v>
      </c>
    </row>
    <row r="2" spans="1:6">
      <c r="A2" s="720" t="s">
        <v>587</v>
      </c>
      <c r="B2" s="720"/>
      <c r="C2" s="720"/>
      <c r="D2" s="720"/>
      <c r="E2" s="720"/>
    </row>
    <row r="3" spans="1:6">
      <c r="A3" s="719" t="s">
        <v>567</v>
      </c>
      <c r="B3" s="719"/>
      <c r="C3" s="719"/>
      <c r="D3" s="719"/>
      <c r="E3" s="719"/>
      <c r="F3" s="389"/>
    </row>
    <row r="4" spans="1:6">
      <c r="A4" s="721" t="s">
        <v>626</v>
      </c>
      <c r="B4" s="721"/>
      <c r="C4" s="721"/>
      <c r="D4" s="721"/>
      <c r="E4" s="721"/>
    </row>
    <row r="5" spans="1:6">
      <c r="A5" s="388" t="s">
        <v>102</v>
      </c>
      <c r="B5" s="388"/>
      <c r="C5" s="388"/>
      <c r="D5" s="388"/>
      <c r="E5" s="388"/>
    </row>
    <row r="6" spans="1:6" ht="13.5" customHeight="1"/>
    <row r="7" spans="1:6" ht="15.75" customHeight="1"/>
    <row r="8" spans="1:6">
      <c r="A8"/>
      <c r="B8"/>
      <c r="C8"/>
      <c r="D8"/>
      <c r="E8"/>
    </row>
    <row r="9" spans="1:6">
      <c r="C9"/>
      <c r="D9"/>
      <c r="E9"/>
    </row>
    <row r="10" spans="1:6" customFormat="1">
      <c r="A10" s="715" t="s">
        <v>581</v>
      </c>
      <c r="B10" s="715"/>
      <c r="C10" s="715"/>
      <c r="D10" s="715"/>
      <c r="E10" s="715"/>
    </row>
    <row r="11" spans="1:6" customFormat="1"/>
    <row r="12" spans="1:6" customFormat="1"/>
    <row r="13" spans="1:6" customFormat="1"/>
    <row r="14" spans="1:6" customFormat="1"/>
    <row r="15" spans="1:6" customFormat="1"/>
    <row r="16" spans="1:6" customFormat="1"/>
    <row r="17" customFormat="1"/>
    <row r="18" customFormat="1"/>
    <row r="19" customFormat="1"/>
    <row r="20" customFormat="1"/>
    <row r="21" customFormat="1"/>
    <row r="22" customFormat="1"/>
    <row r="23" customFormat="1"/>
    <row r="24" customFormat="1"/>
    <row r="25" customFormat="1"/>
    <row r="26" customFormat="1"/>
    <row r="27" customFormat="1"/>
    <row r="28" customFormat="1"/>
    <row r="29" customFormat="1"/>
    <row r="30" customFormat="1"/>
    <row r="31" customFormat="1"/>
    <row r="32" customFormat="1"/>
    <row r="33" spans="1:5" customFormat="1"/>
    <row r="34" spans="1:5" customFormat="1"/>
    <row r="35" spans="1:5" customFormat="1"/>
    <row r="36" spans="1:5" customFormat="1"/>
    <row r="37" spans="1:5" customFormat="1"/>
    <row r="38" spans="1:5" customFormat="1"/>
    <row r="39" spans="1:5" customFormat="1"/>
    <row r="40" spans="1:5">
      <c r="A40"/>
      <c r="B40"/>
      <c r="C40"/>
      <c r="D40"/>
      <c r="E40"/>
    </row>
  </sheetData>
  <mergeCells count="4">
    <mergeCell ref="A10:E10"/>
    <mergeCell ref="A2:E2"/>
    <mergeCell ref="A3:E3"/>
    <mergeCell ref="A4:E4"/>
  </mergeCells>
  <phoneticPr fontId="2" type="noConversion"/>
  <pageMargins left="0.5" right="0.5" top="0.5" bottom="0.5" header="0.5" footer="0.25"/>
  <pageSetup scale="86" orientation="portrait" r:id="rId1"/>
  <headerFooter alignWithMargins="0">
    <oddFooter>&amp;C&amp;A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J33"/>
  <sheetViews>
    <sheetView showGridLines="0" view="pageBreakPreview" zoomScale="70" zoomScaleNormal="100" zoomScaleSheetLayoutView="70" workbookViewId="0">
      <selection activeCell="D38" sqref="D38"/>
    </sheetView>
  </sheetViews>
  <sheetFormatPr defaultColWidth="9.140625" defaultRowHeight="12.75"/>
  <cols>
    <col min="1" max="1" width="25" style="1" customWidth="1"/>
    <col min="2" max="2" width="68.5703125" style="1" customWidth="1"/>
    <col min="3" max="3" width="39.5703125" style="1" customWidth="1"/>
    <col min="4" max="4" width="34.42578125" style="1" customWidth="1"/>
    <col min="5" max="5" width="10.5703125" style="1" customWidth="1"/>
    <col min="6" max="6" width="14.42578125" style="1" customWidth="1"/>
    <col min="7" max="7" width="21.140625" style="1" customWidth="1"/>
    <col min="8" max="8" width="24.140625" style="1" customWidth="1"/>
    <col min="9" max="9" width="21.5703125" style="1" bestFit="1" customWidth="1"/>
    <col min="10" max="16384" width="9.140625" style="1"/>
  </cols>
  <sheetData>
    <row r="1" spans="1:10">
      <c r="B1" s="498"/>
      <c r="C1" s="498"/>
      <c r="D1" s="498"/>
      <c r="E1" s="498"/>
      <c r="F1" s="498"/>
      <c r="G1" s="498"/>
      <c r="H1" s="498"/>
      <c r="I1" s="498"/>
      <c r="J1" s="498"/>
    </row>
    <row r="2" spans="1:10">
      <c r="B2" s="714" t="s">
        <v>587</v>
      </c>
      <c r="C2" s="715"/>
      <c r="D2" s="715"/>
      <c r="E2" s="715"/>
      <c r="F2" s="715"/>
      <c r="G2" s="715"/>
      <c r="H2" s="715"/>
      <c r="I2" s="715"/>
      <c r="J2" s="715"/>
    </row>
    <row r="3" spans="1:10">
      <c r="A3" s="87" t="s">
        <v>102</v>
      </c>
      <c r="B3" s="714" t="s">
        <v>567</v>
      </c>
      <c r="C3" s="714"/>
      <c r="D3" s="714"/>
      <c r="E3" s="714"/>
      <c r="F3" s="714"/>
      <c r="G3" s="714"/>
      <c r="H3" s="714"/>
      <c r="I3" s="714"/>
      <c r="J3" s="714"/>
    </row>
    <row r="4" spans="1:10">
      <c r="A4" s="87" t="s">
        <v>102</v>
      </c>
      <c r="B4" s="714" t="s">
        <v>1068</v>
      </c>
      <c r="C4" s="714"/>
      <c r="D4" s="714"/>
      <c r="E4" s="714"/>
      <c r="F4" s="714"/>
      <c r="G4" s="714"/>
      <c r="H4" s="714"/>
      <c r="I4" s="714"/>
      <c r="J4" s="714"/>
    </row>
    <row r="5" spans="1:10">
      <c r="B5" s="766" t="s">
        <v>1176</v>
      </c>
      <c r="C5" s="714"/>
      <c r="D5" s="714"/>
      <c r="E5" s="714"/>
      <c r="F5" s="714"/>
      <c r="G5" s="714"/>
      <c r="H5" s="714"/>
      <c r="I5" s="714"/>
      <c r="J5" s="714"/>
    </row>
    <row r="6" spans="1:10">
      <c r="A6"/>
      <c r="B6"/>
      <c r="C6" s="793" t="s">
        <v>102</v>
      </c>
      <c r="D6" s="793"/>
      <c r="E6" s="793"/>
    </row>
    <row r="8" spans="1:10">
      <c r="A8"/>
      <c r="B8" s="393"/>
      <c r="C8"/>
      <c r="D8" s="393"/>
      <c r="E8"/>
      <c r="F8" s="404"/>
      <c r="G8" s="404"/>
      <c r="H8" s="404"/>
    </row>
    <row r="9" spans="1:10">
      <c r="A9" s="526" t="s">
        <v>481</v>
      </c>
      <c r="B9" s="526" t="s">
        <v>483</v>
      </c>
      <c r="C9" s="526" t="s">
        <v>482</v>
      </c>
      <c r="D9" s="526" t="s">
        <v>864</v>
      </c>
      <c r="E9" s="526" t="s">
        <v>549</v>
      </c>
      <c r="F9" s="526" t="s">
        <v>550</v>
      </c>
      <c r="G9" s="527" t="s">
        <v>484</v>
      </c>
      <c r="H9" s="527" t="s">
        <v>485</v>
      </c>
      <c r="I9" s="527" t="s">
        <v>486</v>
      </c>
    </row>
    <row r="10" spans="1:10" s="498" customFormat="1">
      <c r="A10" s="526"/>
      <c r="B10" s="526"/>
      <c r="C10" s="526"/>
      <c r="D10" s="526"/>
      <c r="E10" s="526"/>
      <c r="F10" s="526"/>
      <c r="G10" s="527"/>
      <c r="H10" s="527"/>
      <c r="I10" s="527"/>
    </row>
    <row r="11" spans="1:10" s="498" customFormat="1">
      <c r="A11" t="s">
        <v>1115</v>
      </c>
      <c r="B11" t="s">
        <v>1034</v>
      </c>
      <c r="C11" t="s">
        <v>1032</v>
      </c>
      <c r="D11" t="s">
        <v>1033</v>
      </c>
      <c r="E11" t="s">
        <v>1198</v>
      </c>
      <c r="F11" t="s">
        <v>1199</v>
      </c>
      <c r="G11" s="705">
        <v>24415.850000000002</v>
      </c>
      <c r="H11" s="705">
        <v>13020.94</v>
      </c>
      <c r="I11" s="705">
        <v>11394.91</v>
      </c>
    </row>
    <row r="12" spans="1:10" s="498" customFormat="1">
      <c r="A12" t="s">
        <v>1115</v>
      </c>
      <c r="B12" t="s">
        <v>1036</v>
      </c>
      <c r="C12" t="s">
        <v>1032</v>
      </c>
      <c r="D12" t="s">
        <v>1033</v>
      </c>
      <c r="E12" t="s">
        <v>1198</v>
      </c>
      <c r="F12" t="s">
        <v>1199</v>
      </c>
      <c r="G12" s="705">
        <v>61600</v>
      </c>
      <c r="H12" s="705">
        <v>39700.32</v>
      </c>
      <c r="I12" s="705">
        <v>21899.68</v>
      </c>
    </row>
    <row r="13" spans="1:10" s="498" customFormat="1">
      <c r="A13" t="s">
        <v>1115</v>
      </c>
      <c r="B13" t="s">
        <v>1037</v>
      </c>
      <c r="C13" t="s">
        <v>1032</v>
      </c>
      <c r="D13" t="s">
        <v>1033</v>
      </c>
      <c r="E13" t="s">
        <v>1198</v>
      </c>
      <c r="F13" t="s">
        <v>1199</v>
      </c>
      <c r="G13" s="705">
        <v>84966.37</v>
      </c>
      <c r="H13" s="705">
        <v>49974.75</v>
      </c>
      <c r="I13" s="705">
        <v>34991.620000000003</v>
      </c>
    </row>
    <row r="14" spans="1:10" s="498" customFormat="1">
      <c r="A14" t="s">
        <v>1115</v>
      </c>
      <c r="B14" t="s">
        <v>1031</v>
      </c>
      <c r="C14" t="s">
        <v>1032</v>
      </c>
      <c r="D14" t="s">
        <v>1033</v>
      </c>
      <c r="E14" t="s">
        <v>1200</v>
      </c>
      <c r="F14" t="s">
        <v>1199</v>
      </c>
      <c r="G14" s="705">
        <v>1579</v>
      </c>
      <c r="H14" s="705">
        <v>928.1</v>
      </c>
      <c r="I14" s="705">
        <v>650.9</v>
      </c>
    </row>
    <row r="15" spans="1:10" s="498" customFormat="1">
      <c r="A15" t="s">
        <v>1115</v>
      </c>
      <c r="B15" t="s">
        <v>1035</v>
      </c>
      <c r="C15" t="s">
        <v>1032</v>
      </c>
      <c r="D15" t="s">
        <v>1033</v>
      </c>
      <c r="E15" t="s">
        <v>1200</v>
      </c>
      <c r="F15" t="s">
        <v>1199</v>
      </c>
      <c r="G15" s="705">
        <v>46746</v>
      </c>
      <c r="H15" s="705">
        <v>29406.05</v>
      </c>
      <c r="I15" s="705">
        <v>17339.95</v>
      </c>
    </row>
    <row r="16" spans="1:10" s="498" customFormat="1">
      <c r="A16" t="s">
        <v>1115</v>
      </c>
      <c r="B16" t="s">
        <v>1045</v>
      </c>
      <c r="C16" t="s">
        <v>1039</v>
      </c>
      <c r="D16" t="s">
        <v>1044</v>
      </c>
      <c r="E16" t="s">
        <v>1200</v>
      </c>
      <c r="F16" t="s">
        <v>1199</v>
      </c>
      <c r="G16" s="705">
        <v>132441</v>
      </c>
      <c r="H16" s="705">
        <v>107046.72</v>
      </c>
      <c r="I16" s="705">
        <v>25394.28</v>
      </c>
    </row>
    <row r="17" spans="1:9" s="498" customFormat="1">
      <c r="A17" t="s">
        <v>1115</v>
      </c>
      <c r="B17" t="s">
        <v>1053</v>
      </c>
      <c r="C17" t="s">
        <v>1039</v>
      </c>
      <c r="D17" t="s">
        <v>1044</v>
      </c>
      <c r="E17" t="s">
        <v>1198</v>
      </c>
      <c r="F17" t="s">
        <v>1199</v>
      </c>
      <c r="G17" s="705">
        <v>5398124.1799999997</v>
      </c>
      <c r="H17" s="705">
        <v>2550685.11</v>
      </c>
      <c r="I17" s="705">
        <v>2847439.0700000003</v>
      </c>
    </row>
    <row r="18" spans="1:9" s="498" customFormat="1">
      <c r="A18" t="s">
        <v>1115</v>
      </c>
      <c r="B18" t="s">
        <v>1048</v>
      </c>
      <c r="C18" t="s">
        <v>1039</v>
      </c>
      <c r="D18" t="s">
        <v>1044</v>
      </c>
      <c r="E18" t="s">
        <v>1200</v>
      </c>
      <c r="F18" t="s">
        <v>1199</v>
      </c>
      <c r="G18" s="705">
        <v>812314.21</v>
      </c>
      <c r="H18" s="705">
        <v>463330.43</v>
      </c>
      <c r="I18" s="705">
        <v>348983.78</v>
      </c>
    </row>
    <row r="19" spans="1:9" s="498" customFormat="1">
      <c r="A19" t="s">
        <v>1115</v>
      </c>
      <c r="B19" t="s">
        <v>1038</v>
      </c>
      <c r="C19" t="s">
        <v>1039</v>
      </c>
      <c r="D19" t="s">
        <v>1040</v>
      </c>
      <c r="E19" t="s">
        <v>1201</v>
      </c>
      <c r="F19" t="s">
        <v>1199</v>
      </c>
      <c r="G19" s="705">
        <v>20952191.890000001</v>
      </c>
      <c r="H19" s="705">
        <v>975886.55</v>
      </c>
      <c r="I19" s="705">
        <v>19976305.34</v>
      </c>
    </row>
    <row r="20" spans="1:9" s="498" customFormat="1">
      <c r="A20" t="s">
        <v>1115</v>
      </c>
      <c r="B20" t="s">
        <v>1041</v>
      </c>
      <c r="C20" t="s">
        <v>1039</v>
      </c>
      <c r="D20" t="s">
        <v>1042</v>
      </c>
      <c r="E20" t="s">
        <v>1201</v>
      </c>
      <c r="F20" t="s">
        <v>1199</v>
      </c>
      <c r="G20" s="705">
        <v>1628160.99</v>
      </c>
      <c r="H20" s="705">
        <v>924977.52</v>
      </c>
      <c r="I20" s="705">
        <v>703183.47</v>
      </c>
    </row>
    <row r="21" spans="1:9" s="498" customFormat="1">
      <c r="A21" t="s">
        <v>1115</v>
      </c>
      <c r="B21" t="s">
        <v>1050</v>
      </c>
      <c r="C21" t="s">
        <v>1039</v>
      </c>
      <c r="D21" t="s">
        <v>1044</v>
      </c>
      <c r="E21" t="s">
        <v>1198</v>
      </c>
      <c r="F21" t="s">
        <v>1199</v>
      </c>
      <c r="G21" s="705">
        <v>1166092.2</v>
      </c>
      <c r="H21" s="705">
        <v>763554.96</v>
      </c>
      <c r="I21" s="705">
        <v>402537.24</v>
      </c>
    </row>
    <row r="22" spans="1:9" s="498" customFormat="1">
      <c r="A22" t="s">
        <v>1115</v>
      </c>
      <c r="B22" t="s">
        <v>1034</v>
      </c>
      <c r="C22" t="s">
        <v>1039</v>
      </c>
      <c r="D22" t="s">
        <v>1044</v>
      </c>
      <c r="E22" t="s">
        <v>1198</v>
      </c>
      <c r="F22" t="s">
        <v>1199</v>
      </c>
      <c r="G22" s="705">
        <v>13812138.529999999</v>
      </c>
      <c r="H22" s="705">
        <v>8716362.5</v>
      </c>
      <c r="I22" s="705">
        <v>5095776.03</v>
      </c>
    </row>
    <row r="23" spans="1:9" s="498" customFormat="1">
      <c r="A23" t="s">
        <v>1115</v>
      </c>
      <c r="B23" t="s">
        <v>1036</v>
      </c>
      <c r="C23" t="s">
        <v>1039</v>
      </c>
      <c r="D23" t="s">
        <v>1044</v>
      </c>
      <c r="E23" t="s">
        <v>1198</v>
      </c>
      <c r="F23" t="s">
        <v>1199</v>
      </c>
      <c r="G23" s="705">
        <v>13334377.91</v>
      </c>
      <c r="H23" s="705">
        <v>7202961.0499999998</v>
      </c>
      <c r="I23" s="705">
        <v>6131416.8600000003</v>
      </c>
    </row>
    <row r="24" spans="1:9" s="498" customFormat="1">
      <c r="A24" t="s">
        <v>1115</v>
      </c>
      <c r="B24" t="s">
        <v>1037</v>
      </c>
      <c r="C24" t="s">
        <v>1039</v>
      </c>
      <c r="D24" t="s">
        <v>1044</v>
      </c>
      <c r="E24" t="s">
        <v>1198</v>
      </c>
      <c r="F24" t="s">
        <v>1199</v>
      </c>
      <c r="G24" s="705">
        <v>16991671.780000001</v>
      </c>
      <c r="H24" s="705">
        <v>4293830.24</v>
      </c>
      <c r="I24" s="705">
        <v>12697841.539999999</v>
      </c>
    </row>
    <row r="25" spans="1:9" s="498" customFormat="1">
      <c r="A25" t="s">
        <v>1115</v>
      </c>
      <c r="B25" t="s">
        <v>1031</v>
      </c>
      <c r="C25" t="s">
        <v>1039</v>
      </c>
      <c r="D25" t="s">
        <v>1044</v>
      </c>
      <c r="E25" t="s">
        <v>1200</v>
      </c>
      <c r="F25" t="s">
        <v>1199</v>
      </c>
      <c r="G25" s="705">
        <v>374454.12</v>
      </c>
      <c r="H25" s="705">
        <v>169087.03</v>
      </c>
      <c r="I25" s="705">
        <v>205367.09</v>
      </c>
    </row>
    <row r="26" spans="1:9" s="498" customFormat="1">
      <c r="A26" t="s">
        <v>1115</v>
      </c>
      <c r="B26" t="s">
        <v>1051</v>
      </c>
      <c r="C26" t="s">
        <v>1039</v>
      </c>
      <c r="D26" t="s">
        <v>1044</v>
      </c>
      <c r="E26" t="s">
        <v>1200</v>
      </c>
      <c r="F26" t="s">
        <v>1199</v>
      </c>
      <c r="G26" s="705">
        <v>1774981.3</v>
      </c>
      <c r="H26" s="705">
        <v>1043020.98</v>
      </c>
      <c r="I26" s="705">
        <v>731960.32000000007</v>
      </c>
    </row>
    <row r="27" spans="1:9" s="498" customFormat="1">
      <c r="A27" t="s">
        <v>1115</v>
      </c>
      <c r="B27" t="s">
        <v>1047</v>
      </c>
      <c r="C27" t="s">
        <v>1039</v>
      </c>
      <c r="D27" t="s">
        <v>1044</v>
      </c>
      <c r="E27" t="s">
        <v>1198</v>
      </c>
      <c r="F27" t="s">
        <v>1199</v>
      </c>
      <c r="G27" s="705">
        <v>366061</v>
      </c>
      <c r="H27" s="705">
        <v>241315.77000000002</v>
      </c>
      <c r="I27" s="705">
        <v>124745.23</v>
      </c>
    </row>
    <row r="28" spans="1:9" s="498" customFormat="1">
      <c r="A28" t="s">
        <v>1115</v>
      </c>
      <c r="B28" t="s">
        <v>1043</v>
      </c>
      <c r="C28" t="s">
        <v>1039</v>
      </c>
      <c r="D28" t="s">
        <v>1044</v>
      </c>
      <c r="E28" t="s">
        <v>1198</v>
      </c>
      <c r="F28" t="s">
        <v>1199</v>
      </c>
      <c r="G28" s="705">
        <v>25751</v>
      </c>
      <c r="H28" s="705">
        <v>22857.39</v>
      </c>
      <c r="I28" s="705">
        <v>2893.61</v>
      </c>
    </row>
    <row r="29" spans="1:9" s="498" customFormat="1">
      <c r="A29" t="s">
        <v>1115</v>
      </c>
      <c r="B29" t="s">
        <v>1052</v>
      </c>
      <c r="C29" t="s">
        <v>1039</v>
      </c>
      <c r="D29" t="s">
        <v>1044</v>
      </c>
      <c r="E29" t="s">
        <v>1198</v>
      </c>
      <c r="F29" t="s">
        <v>1199</v>
      </c>
      <c r="G29" s="705">
        <v>1959926.26</v>
      </c>
      <c r="H29" s="705">
        <v>903248.05</v>
      </c>
      <c r="I29" s="705">
        <v>1056678.21</v>
      </c>
    </row>
    <row r="30" spans="1:9" s="498" customFormat="1">
      <c r="A30" t="s">
        <v>1115</v>
      </c>
      <c r="B30" t="s">
        <v>1049</v>
      </c>
      <c r="C30" t="s">
        <v>1039</v>
      </c>
      <c r="D30" t="s">
        <v>1044</v>
      </c>
      <c r="E30" t="s">
        <v>1200</v>
      </c>
      <c r="F30" t="s">
        <v>1199</v>
      </c>
      <c r="G30" s="705">
        <v>673990</v>
      </c>
      <c r="H30" s="705">
        <v>401407.77</v>
      </c>
      <c r="I30" s="705">
        <v>272582.23</v>
      </c>
    </row>
    <row r="31" spans="1:9" s="498" customFormat="1">
      <c r="A31" t="s">
        <v>1115</v>
      </c>
      <c r="B31" t="s">
        <v>1046</v>
      </c>
      <c r="C31" t="s">
        <v>1039</v>
      </c>
      <c r="D31" t="s">
        <v>1044</v>
      </c>
      <c r="E31" t="s">
        <v>1200</v>
      </c>
      <c r="F31" t="s">
        <v>1199</v>
      </c>
      <c r="G31" s="705">
        <v>193579.48</v>
      </c>
      <c r="H31" s="705">
        <v>169868.4</v>
      </c>
      <c r="I31" s="705">
        <v>23711.08</v>
      </c>
    </row>
    <row r="33" spans="2:9">
      <c r="B33" s="606"/>
      <c r="C33" s="606"/>
      <c r="D33" s="606"/>
      <c r="E33" s="606"/>
      <c r="F33" s="606"/>
      <c r="G33" s="607">
        <f>SUM(G11:G31)</f>
        <v>79815563.070000008</v>
      </c>
      <c r="H33" s="607">
        <f>SUM(H11:H31)</f>
        <v>29082470.630000003</v>
      </c>
      <c r="I33" s="607">
        <f>SUM(I11:I31)</f>
        <v>50733092.439999998</v>
      </c>
    </row>
  </sheetData>
  <mergeCells count="5">
    <mergeCell ref="C6:E6"/>
    <mergeCell ref="B2:J2"/>
    <mergeCell ref="B3:J3"/>
    <mergeCell ref="B4:J4"/>
    <mergeCell ref="B5:J5"/>
  </mergeCells>
  <phoneticPr fontId="2" type="noConversion"/>
  <pageMargins left="0.5" right="0.5" top="0.5" bottom="0.5" header="0.5" footer="0.25"/>
  <pageSetup scale="35" orientation="portrait" r:id="rId1"/>
  <headerFooter alignWithMargins="0">
    <oddFooter>&amp;C&amp;A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N14"/>
  <sheetViews>
    <sheetView view="pageBreakPreview" zoomScaleNormal="100" zoomScaleSheetLayoutView="100" workbookViewId="0">
      <selection activeCell="L12" sqref="L12"/>
    </sheetView>
  </sheetViews>
  <sheetFormatPr defaultRowHeight="12.75"/>
  <cols>
    <col min="2" max="2" width="26" customWidth="1"/>
    <col min="3" max="3" width="8.85546875" customWidth="1"/>
    <col min="4" max="4" width="26.5703125" customWidth="1"/>
    <col min="5" max="5" width="17.85546875" customWidth="1"/>
    <col min="6" max="6" width="18.140625" customWidth="1"/>
    <col min="7" max="7" width="15.85546875" customWidth="1"/>
    <col min="8" max="8" width="14" customWidth="1"/>
    <col min="9" max="9" width="17.5703125" customWidth="1"/>
    <col min="10" max="10" width="21.5703125" customWidth="1"/>
    <col min="11" max="11" width="10.85546875" customWidth="1"/>
    <col min="12" max="12" width="11.5703125" customWidth="1"/>
  </cols>
  <sheetData>
    <row r="1" spans="1:14">
      <c r="L1" s="295" t="s">
        <v>102</v>
      </c>
    </row>
    <row r="2" spans="1:14"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301" t="s">
        <v>102</v>
      </c>
      <c r="M2" s="261"/>
      <c r="N2" s="1"/>
    </row>
    <row r="3" spans="1:14">
      <c r="A3" s="766" t="s">
        <v>587</v>
      </c>
      <c r="B3" s="715"/>
      <c r="C3" s="715"/>
      <c r="D3" s="715"/>
      <c r="E3" s="715"/>
      <c r="F3" s="715"/>
      <c r="G3" s="715"/>
      <c r="H3" s="715"/>
      <c r="I3" s="715"/>
      <c r="J3" s="715"/>
      <c r="K3" s="715"/>
      <c r="L3" s="715"/>
      <c r="M3" s="305"/>
      <c r="N3" s="1"/>
    </row>
    <row r="4" spans="1:14">
      <c r="A4" s="723" t="s">
        <v>583</v>
      </c>
      <c r="B4" s="715"/>
      <c r="C4" s="715"/>
      <c r="D4" s="715"/>
      <c r="E4" s="715"/>
      <c r="F4" s="715"/>
      <c r="G4" s="715"/>
      <c r="H4" s="715"/>
      <c r="I4" s="715"/>
      <c r="J4" s="715"/>
      <c r="K4" s="715"/>
      <c r="L4" s="715"/>
      <c r="M4" s="241"/>
      <c r="N4" s="241"/>
    </row>
    <row r="5" spans="1:14">
      <c r="A5" s="723" t="s">
        <v>567</v>
      </c>
      <c r="B5" s="715"/>
      <c r="C5" s="715"/>
      <c r="D5" s="715"/>
      <c r="E5" s="715"/>
      <c r="F5" s="715"/>
      <c r="G5" s="715"/>
      <c r="H5" s="715"/>
      <c r="I5" s="715"/>
      <c r="J5" s="715"/>
      <c r="K5" s="715"/>
      <c r="L5" s="715"/>
      <c r="M5" s="304"/>
      <c r="N5" s="1"/>
    </row>
    <row r="6" spans="1:14">
      <c r="A6" s="766" t="s">
        <v>1185</v>
      </c>
      <c r="B6" s="715"/>
      <c r="C6" s="715"/>
      <c r="D6" s="715"/>
      <c r="E6" s="715"/>
      <c r="F6" s="715"/>
      <c r="G6" s="715"/>
      <c r="H6" s="715"/>
      <c r="I6" s="715"/>
      <c r="J6" s="715"/>
      <c r="K6" s="715"/>
      <c r="L6" s="715"/>
      <c r="M6" s="304"/>
      <c r="N6" s="1"/>
    </row>
    <row r="7" spans="1:14">
      <c r="A7" s="421"/>
      <c r="B7" s="419"/>
      <c r="C7" s="419"/>
      <c r="D7" s="419"/>
      <c r="E7" s="419"/>
      <c r="F7" s="419"/>
      <c r="G7" s="419"/>
      <c r="H7" s="419"/>
      <c r="I7" s="419"/>
      <c r="J7" s="419"/>
      <c r="K7" s="419"/>
      <c r="L7" s="419"/>
      <c r="M7" s="304"/>
      <c r="N7" s="420"/>
    </row>
    <row r="8" spans="1:14">
      <c r="A8" s="304" t="s">
        <v>418</v>
      </c>
      <c r="B8" s="304" t="s">
        <v>121</v>
      </c>
      <c r="C8" s="304" t="s">
        <v>419</v>
      </c>
      <c r="D8" s="304" t="s">
        <v>420</v>
      </c>
      <c r="E8" s="309" t="s">
        <v>122</v>
      </c>
      <c r="F8" s="309" t="s">
        <v>421</v>
      </c>
      <c r="G8" s="309" t="s">
        <v>422</v>
      </c>
      <c r="H8" s="309" t="s">
        <v>501</v>
      </c>
      <c r="I8" s="309" t="s">
        <v>423</v>
      </c>
      <c r="J8" s="304" t="s">
        <v>123</v>
      </c>
      <c r="K8" s="304" t="s">
        <v>124</v>
      </c>
      <c r="L8" s="304" t="s">
        <v>424</v>
      </c>
      <c r="M8" s="304"/>
      <c r="N8" s="1"/>
    </row>
    <row r="9" spans="1:14">
      <c r="A9" s="304"/>
      <c r="B9" s="304"/>
      <c r="C9" s="304"/>
      <c r="D9" s="304"/>
      <c r="E9" s="309"/>
      <c r="F9" s="309"/>
      <c r="G9" s="309"/>
      <c r="H9" s="309"/>
      <c r="I9" s="309"/>
      <c r="J9" s="304"/>
      <c r="K9" s="304"/>
      <c r="L9" s="304"/>
      <c r="M9" s="304"/>
      <c r="N9" s="1"/>
    </row>
    <row r="10" spans="1:14">
      <c r="A10" s="304"/>
      <c r="B10" s="304"/>
      <c r="C10" s="304"/>
      <c r="D10" s="304"/>
      <c r="E10" s="304"/>
      <c r="F10" s="304"/>
      <c r="G10" s="304"/>
      <c r="H10" s="304"/>
      <c r="I10" s="304"/>
      <c r="J10" s="304"/>
      <c r="K10" s="304"/>
      <c r="L10" s="304"/>
      <c r="M10" s="304"/>
      <c r="N10" s="1"/>
    </row>
    <row r="11" spans="1:14">
      <c r="A11" s="304" t="s">
        <v>425</v>
      </c>
      <c r="B11" s="304" t="s">
        <v>427</v>
      </c>
      <c r="C11" s="304">
        <v>6</v>
      </c>
      <c r="D11" s="304" t="s">
        <v>426</v>
      </c>
      <c r="E11" s="528">
        <v>2079782648</v>
      </c>
      <c r="F11" s="528">
        <v>103923362</v>
      </c>
      <c r="G11" s="528">
        <v>8061574</v>
      </c>
      <c r="H11" s="528">
        <v>-2545268</v>
      </c>
      <c r="I11" s="528">
        <v>0</v>
      </c>
      <c r="J11" s="528">
        <f>+E11+F11-G11+H11+I11</f>
        <v>2173099168</v>
      </c>
      <c r="K11" s="529">
        <v>44927</v>
      </c>
      <c r="L11" s="529">
        <v>45291</v>
      </c>
      <c r="M11" s="304"/>
      <c r="N11" s="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A13" s="193" t="s">
        <v>268</v>
      </c>
    </row>
    <row r="14" spans="1:14" ht="14.25">
      <c r="A14" s="311" t="s">
        <v>38</v>
      </c>
    </row>
  </sheetData>
  <mergeCells count="4">
    <mergeCell ref="A3:L3"/>
    <mergeCell ref="A4:L4"/>
    <mergeCell ref="A5:L5"/>
    <mergeCell ref="A6:L6"/>
  </mergeCells>
  <phoneticPr fontId="2" type="noConversion"/>
  <pageMargins left="0.5" right="0.5" top="0.5" bottom="0.5" header="0.5" footer="0.25"/>
  <pageSetup scale="46" orientation="portrait" r:id="rId1"/>
  <headerFooter alignWithMargins="0">
    <oddFooter>&amp;C&amp;A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O30"/>
  <sheetViews>
    <sheetView view="pageBreakPreview" zoomScaleNormal="100" zoomScaleSheetLayoutView="100" workbookViewId="0">
      <selection activeCell="N18" sqref="N18"/>
    </sheetView>
  </sheetViews>
  <sheetFormatPr defaultRowHeight="12.75"/>
  <cols>
    <col min="2" max="2" width="27" customWidth="1"/>
    <col min="3" max="3" width="18.5703125" customWidth="1"/>
  </cols>
  <sheetData>
    <row r="1" spans="1:15">
      <c r="B1" s="24"/>
      <c r="C1" s="24"/>
      <c r="D1" s="24"/>
      <c r="E1" s="24"/>
      <c r="F1" s="24"/>
      <c r="G1" s="24"/>
      <c r="H1" s="298" t="s">
        <v>102</v>
      </c>
      <c r="I1" s="24"/>
      <c r="J1" s="24"/>
      <c r="K1" s="24"/>
      <c r="L1" s="24"/>
      <c r="M1" s="24"/>
      <c r="N1" s="24"/>
      <c r="O1" s="24"/>
    </row>
    <row r="2" spans="1:15">
      <c r="A2" s="719" t="s">
        <v>587</v>
      </c>
      <c r="B2" s="719"/>
      <c r="C2" s="719"/>
      <c r="D2" s="719"/>
      <c r="E2" s="719"/>
      <c r="F2" s="719"/>
      <c r="G2" s="719"/>
      <c r="H2" s="298" t="s">
        <v>102</v>
      </c>
      <c r="I2" s="24"/>
      <c r="J2" s="24"/>
      <c r="K2" s="24"/>
      <c r="L2" s="24"/>
      <c r="M2" s="24"/>
      <c r="N2" s="24"/>
      <c r="O2" s="24"/>
    </row>
    <row r="3" spans="1:15">
      <c r="A3" s="719" t="s">
        <v>567</v>
      </c>
      <c r="B3" s="719"/>
      <c r="C3" s="719"/>
      <c r="D3" s="719"/>
      <c r="E3" s="719"/>
      <c r="F3" s="719"/>
      <c r="G3" s="719"/>
      <c r="H3" s="24"/>
      <c r="I3" s="24"/>
      <c r="J3" s="24"/>
      <c r="K3" s="24"/>
      <c r="L3" s="24"/>
      <c r="M3" s="24"/>
      <c r="N3" s="24"/>
      <c r="O3" s="24"/>
    </row>
    <row r="4" spans="1:15">
      <c r="A4" s="719" t="s">
        <v>53</v>
      </c>
      <c r="B4" s="719"/>
      <c r="C4" s="719"/>
      <c r="D4" s="719"/>
      <c r="E4" s="719"/>
      <c r="F4" s="719"/>
      <c r="G4" s="719"/>
      <c r="H4" s="24"/>
      <c r="I4" s="24"/>
      <c r="J4" s="24"/>
      <c r="K4" s="24"/>
      <c r="L4" s="24"/>
      <c r="M4" s="24"/>
      <c r="N4" s="24"/>
      <c r="O4" s="24"/>
    </row>
    <row r="5" spans="1:15">
      <c r="A5" s="794" t="s">
        <v>1182</v>
      </c>
      <c r="B5" s="717"/>
      <c r="C5" s="717"/>
      <c r="D5" s="717"/>
      <c r="E5" s="717"/>
      <c r="F5" s="717"/>
      <c r="G5" s="717"/>
      <c r="H5" s="109"/>
      <c r="I5" s="109"/>
      <c r="J5" s="109"/>
      <c r="K5" s="109"/>
      <c r="L5" s="109"/>
      <c r="M5" s="109"/>
      <c r="N5" s="109"/>
      <c r="O5" s="109"/>
    </row>
    <row r="6" spans="1:15">
      <c r="A6" s="719" t="s">
        <v>102</v>
      </c>
      <c r="B6" s="719"/>
      <c r="C6" s="719"/>
      <c r="D6" s="719"/>
      <c r="E6" s="719"/>
      <c r="F6" s="719"/>
      <c r="G6" s="719"/>
      <c r="H6" s="719"/>
      <c r="I6" s="719"/>
      <c r="J6" s="719"/>
      <c r="K6" s="719"/>
      <c r="L6" s="719"/>
      <c r="M6" s="719"/>
      <c r="N6" s="719"/>
      <c r="O6" s="719"/>
    </row>
    <row r="7" spans="1:15">
      <c r="A7" s="26"/>
      <c r="B7" s="26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5">
      <c r="A8" s="24"/>
      <c r="B8" s="26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1:15">
      <c r="A9" s="24"/>
      <c r="B9" s="24"/>
    </row>
    <row r="10" spans="1:15" ht="14.25">
      <c r="A10" s="23" t="s">
        <v>102</v>
      </c>
      <c r="B10" s="23"/>
      <c r="C10" s="23"/>
      <c r="D10" s="25"/>
      <c r="E10" s="378" t="s">
        <v>819</v>
      </c>
      <c r="F10" s="1"/>
      <c r="G10" s="1"/>
      <c r="H10" s="25"/>
      <c r="I10" s="25"/>
      <c r="J10" s="25"/>
      <c r="K10" s="25"/>
      <c r="L10" s="25"/>
      <c r="M10" s="24"/>
      <c r="N10" s="24"/>
      <c r="O10" s="24"/>
    </row>
    <row r="11" spans="1:15">
      <c r="A11" s="263" t="s">
        <v>552</v>
      </c>
      <c r="B11" s="23"/>
      <c r="C11" s="23"/>
      <c r="D11" s="25"/>
      <c r="E11" s="205"/>
      <c r="F11" s="1"/>
      <c r="G11" s="1"/>
      <c r="H11" s="25"/>
      <c r="I11" s="25"/>
      <c r="J11" s="25"/>
      <c r="K11" s="25"/>
      <c r="L11" s="25"/>
      <c r="M11" s="24"/>
      <c r="N11" s="24"/>
      <c r="O11" s="24"/>
    </row>
    <row r="12" spans="1:15">
      <c r="A12" s="24" t="s">
        <v>510</v>
      </c>
      <c r="B12" s="24"/>
      <c r="C12" s="34">
        <v>896985858.30999982</v>
      </c>
      <c r="D12" s="25"/>
      <c r="E12" s="179" t="s">
        <v>511</v>
      </c>
      <c r="F12" s="1"/>
      <c r="G12" s="1"/>
      <c r="H12" s="25"/>
      <c r="I12" s="25"/>
      <c r="J12" s="25"/>
      <c r="K12" s="25"/>
      <c r="L12" s="25"/>
      <c r="M12" s="24"/>
      <c r="N12" s="24"/>
      <c r="O12" s="24"/>
    </row>
    <row r="13" spans="1:15">
      <c r="A13" s="24"/>
      <c r="B13" s="24"/>
      <c r="C13" s="34"/>
      <c r="D13" s="25"/>
      <c r="E13" s="179"/>
      <c r="F13" s="1"/>
      <c r="G13" s="1"/>
      <c r="H13" s="25"/>
      <c r="I13" s="25"/>
      <c r="J13" s="25"/>
      <c r="K13" s="25"/>
      <c r="L13" s="25"/>
      <c r="M13" s="24"/>
      <c r="N13" s="24"/>
      <c r="O13" s="24"/>
    </row>
    <row r="14" spans="1:15">
      <c r="A14" s="24" t="s">
        <v>553</v>
      </c>
      <c r="B14" s="24"/>
      <c r="C14" s="34">
        <v>0</v>
      </c>
      <c r="D14" s="25"/>
      <c r="E14" s="179" t="s">
        <v>555</v>
      </c>
      <c r="F14" s="1"/>
      <c r="G14" s="1"/>
      <c r="H14" s="25"/>
      <c r="I14" s="25"/>
      <c r="J14" s="25"/>
      <c r="K14" s="25"/>
      <c r="L14" s="25"/>
      <c r="M14" s="24"/>
      <c r="N14" s="24"/>
      <c r="O14" s="24"/>
    </row>
    <row r="15" spans="1:15">
      <c r="A15" s="24"/>
      <c r="B15" s="24"/>
      <c r="C15" s="34"/>
      <c r="D15" s="25"/>
      <c r="E15" s="179"/>
      <c r="F15" s="1"/>
      <c r="G15" s="1"/>
      <c r="H15" s="25"/>
      <c r="I15" s="25"/>
      <c r="J15" s="25"/>
      <c r="K15" s="25"/>
      <c r="L15" s="25"/>
      <c r="M15" s="24"/>
      <c r="N15" s="24"/>
      <c r="O15" s="24"/>
    </row>
    <row r="16" spans="1:15">
      <c r="A16" s="24" t="s">
        <v>619</v>
      </c>
      <c r="B16" s="24"/>
      <c r="C16" s="34">
        <v>10419504.039999999</v>
      </c>
      <c r="D16" s="25"/>
      <c r="E16" s="179" t="s">
        <v>620</v>
      </c>
      <c r="F16" s="1"/>
      <c r="G16" s="1"/>
      <c r="H16" s="25"/>
      <c r="I16" s="25"/>
      <c r="J16" s="25"/>
      <c r="K16" s="25"/>
      <c r="L16" s="25"/>
      <c r="M16" s="24"/>
      <c r="N16" s="24"/>
      <c r="O16" s="24"/>
    </row>
    <row r="17" spans="1:15">
      <c r="A17" s="24" t="s">
        <v>554</v>
      </c>
      <c r="B17" s="24"/>
      <c r="C17" s="34">
        <f>+C12+C14+C16</f>
        <v>907405362.34999979</v>
      </c>
      <c r="D17" s="25"/>
      <c r="E17" s="179"/>
      <c r="F17" s="1"/>
      <c r="G17" s="1"/>
      <c r="H17" s="25"/>
      <c r="I17" s="25"/>
      <c r="J17" s="25"/>
      <c r="K17" s="25"/>
      <c r="L17" s="25"/>
      <c r="M17" s="24"/>
      <c r="N17" s="24"/>
      <c r="O17" s="24"/>
    </row>
    <row r="18" spans="1:15">
      <c r="A18" s="24"/>
      <c r="B18" s="24"/>
      <c r="C18" s="34"/>
      <c r="D18" s="25"/>
      <c r="E18" s="179"/>
      <c r="F18" s="1"/>
      <c r="G18" s="1"/>
      <c r="H18" s="25"/>
      <c r="I18" s="25"/>
      <c r="J18" s="25"/>
      <c r="K18" s="25"/>
      <c r="L18" s="25"/>
      <c r="M18" s="24"/>
      <c r="N18" s="24"/>
      <c r="O18" s="24"/>
    </row>
    <row r="19" spans="1:15">
      <c r="A19" s="264" t="s">
        <v>98</v>
      </c>
      <c r="B19" s="24"/>
      <c r="C19" s="34"/>
      <c r="D19" s="25"/>
      <c r="E19" s="179"/>
      <c r="F19" s="1"/>
      <c r="G19" s="1"/>
      <c r="H19" s="25"/>
      <c r="I19" s="25"/>
      <c r="J19" s="25"/>
      <c r="K19" s="25"/>
      <c r="L19" s="25"/>
      <c r="M19" s="24"/>
      <c r="N19" s="24"/>
      <c r="O19" s="24"/>
    </row>
    <row r="20" spans="1:15">
      <c r="A20" s="278" t="s">
        <v>512</v>
      </c>
      <c r="B20" s="279"/>
      <c r="C20" s="280">
        <v>23309360.370000001</v>
      </c>
      <c r="D20" s="280"/>
      <c r="E20" s="281" t="s">
        <v>514</v>
      </c>
      <c r="F20" s="25"/>
      <c r="G20" s="25"/>
      <c r="H20" s="25"/>
      <c r="I20" s="25"/>
      <c r="J20" s="25"/>
      <c r="K20" s="25"/>
      <c r="L20" s="25"/>
      <c r="M20" s="24"/>
      <c r="N20" s="24"/>
      <c r="O20" s="24"/>
    </row>
    <row r="21" spans="1:15">
      <c r="A21" s="278" t="s">
        <v>513</v>
      </c>
      <c r="B21" s="279"/>
      <c r="C21" s="280">
        <v>-1574341.71</v>
      </c>
      <c r="D21" s="280"/>
      <c r="E21" s="281" t="s">
        <v>514</v>
      </c>
      <c r="F21" s="25"/>
      <c r="G21" s="25"/>
      <c r="H21" s="25"/>
      <c r="I21" s="25"/>
      <c r="J21" s="25"/>
      <c r="K21" s="25"/>
      <c r="L21" s="25"/>
      <c r="M21" s="24"/>
      <c r="N21" s="24"/>
      <c r="O21" s="24"/>
    </row>
    <row r="22" spans="1:15">
      <c r="A22" s="23" t="s">
        <v>102</v>
      </c>
      <c r="B22" s="23"/>
      <c r="C22" s="23" t="s">
        <v>102</v>
      </c>
      <c r="D22" s="25"/>
      <c r="E22" s="25"/>
      <c r="F22" s="25"/>
      <c r="G22" s="25"/>
      <c r="H22" s="25"/>
      <c r="I22" s="25"/>
      <c r="J22" s="25"/>
      <c r="K22" s="25"/>
      <c r="L22" s="25"/>
      <c r="M22" s="24"/>
      <c r="N22" s="24"/>
      <c r="O22" s="24"/>
    </row>
    <row r="26" spans="1:15">
      <c r="A26" s="193" t="s">
        <v>268</v>
      </c>
    </row>
    <row r="27" spans="1:15" ht="14.25">
      <c r="A27" s="194" t="s">
        <v>443</v>
      </c>
    </row>
    <row r="28" spans="1:15" ht="14.25">
      <c r="A28" s="377" t="s">
        <v>818</v>
      </c>
    </row>
    <row r="30" spans="1:15">
      <c r="A30" t="s">
        <v>102</v>
      </c>
    </row>
  </sheetData>
  <mergeCells count="5">
    <mergeCell ref="A6:O6"/>
    <mergeCell ref="A2:G2"/>
    <mergeCell ref="A3:G3"/>
    <mergeCell ref="A4:G4"/>
    <mergeCell ref="A5:G5"/>
  </mergeCells>
  <phoneticPr fontId="2" type="noConversion"/>
  <pageMargins left="0.5" right="0.5" top="0.5" bottom="0.5" header="0.5" footer="0.25"/>
  <pageSetup scale="86" orientation="portrait" r:id="rId1"/>
  <headerFooter alignWithMargins="0">
    <oddFooter>&amp;C&amp;A</oddFooter>
  </headerFooter>
  <colBreaks count="1" manualBreakCount="1">
    <brk id="11" max="1048575" man="1"/>
  </col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M25"/>
  <sheetViews>
    <sheetView showGridLines="0" view="pageBreakPreview" zoomScaleNormal="100" zoomScaleSheetLayoutView="100" workbookViewId="0">
      <selection activeCell="C17" sqref="C17"/>
    </sheetView>
  </sheetViews>
  <sheetFormatPr defaultRowHeight="12.75"/>
  <cols>
    <col min="1" max="1" width="23.85546875" customWidth="1"/>
    <col min="2" max="2" width="2.42578125" customWidth="1"/>
    <col min="3" max="3" width="13.42578125" customWidth="1"/>
    <col min="4" max="4" width="9" bestFit="1" customWidth="1"/>
    <col min="5" max="5" width="11" customWidth="1"/>
    <col min="6" max="6" width="3.140625" customWidth="1"/>
    <col min="7" max="7" width="12.85546875" customWidth="1"/>
    <col min="8" max="8" width="11.140625" customWidth="1"/>
    <col min="9" max="9" width="10.85546875" customWidth="1"/>
    <col min="10" max="10" width="2.5703125" customWidth="1"/>
    <col min="11" max="11" width="10.5703125" customWidth="1"/>
    <col min="12" max="12" width="10.85546875" customWidth="1"/>
    <col min="13" max="13" width="10.42578125" customWidth="1"/>
  </cols>
  <sheetData>
    <row r="1" spans="1:13">
      <c r="G1" s="295" t="s">
        <v>102</v>
      </c>
    </row>
    <row r="2" spans="1:13">
      <c r="A2" s="795" t="s">
        <v>587</v>
      </c>
      <c r="B2" s="795"/>
      <c r="C2" s="795"/>
      <c r="D2" s="795"/>
      <c r="E2" s="795"/>
      <c r="F2" s="795"/>
      <c r="G2" s="795"/>
      <c r="H2" s="795"/>
    </row>
    <row r="3" spans="1:13">
      <c r="A3" s="715" t="s">
        <v>567</v>
      </c>
      <c r="B3" s="715"/>
      <c r="C3" s="715"/>
      <c r="D3" s="715"/>
      <c r="E3" s="715"/>
      <c r="F3" s="715"/>
      <c r="G3" s="715"/>
      <c r="H3" s="715"/>
    </row>
    <row r="4" spans="1:13">
      <c r="A4" s="795" t="s">
        <v>584</v>
      </c>
      <c r="B4" s="795"/>
      <c r="C4" s="795"/>
      <c r="D4" s="795"/>
      <c r="E4" s="795"/>
      <c r="F4" s="795"/>
      <c r="G4" s="795"/>
      <c r="H4" s="795"/>
    </row>
    <row r="5" spans="1:13">
      <c r="A5" s="796" t="s">
        <v>1182</v>
      </c>
      <c r="B5" s="795"/>
      <c r="C5" s="795"/>
      <c r="D5" s="795"/>
      <c r="E5" s="795"/>
      <c r="F5" s="795"/>
      <c r="G5" s="795"/>
      <c r="H5" s="795"/>
    </row>
    <row r="6" spans="1:13">
      <c r="A6" s="390" t="s">
        <v>102</v>
      </c>
      <c r="B6" s="390"/>
      <c r="C6" s="390"/>
      <c r="D6" s="390"/>
      <c r="E6" s="390"/>
      <c r="F6" s="390"/>
      <c r="G6" s="390"/>
      <c r="H6" s="390"/>
      <c r="I6" s="390"/>
      <c r="J6" s="390"/>
      <c r="K6" s="390"/>
      <c r="L6" s="390"/>
      <c r="M6" s="390"/>
    </row>
    <row r="7" spans="1:13">
      <c r="A7" s="390"/>
      <c r="B7" s="390"/>
      <c r="C7" s="390"/>
      <c r="D7" s="390"/>
      <c r="E7" s="390"/>
      <c r="F7" s="390"/>
      <c r="G7" s="390"/>
      <c r="H7" s="390"/>
      <c r="I7" s="390"/>
      <c r="J7" s="390"/>
      <c r="K7" s="390"/>
      <c r="L7" s="390"/>
      <c r="M7" s="390"/>
    </row>
    <row r="8" spans="1:13">
      <c r="A8" s="390"/>
      <c r="B8" s="390"/>
      <c r="C8" s="390"/>
      <c r="D8" s="390"/>
      <c r="E8" s="390"/>
      <c r="F8" s="390"/>
      <c r="G8" s="390"/>
      <c r="H8" s="390"/>
      <c r="I8" s="390"/>
      <c r="J8" s="390"/>
      <c r="K8" s="390"/>
      <c r="L8" s="390"/>
      <c r="M8" s="390"/>
    </row>
    <row r="9" spans="1:13">
      <c r="A9" s="390"/>
      <c r="B9" s="390"/>
      <c r="C9" s="390"/>
      <c r="D9" s="390"/>
      <c r="E9" s="390"/>
      <c r="F9" s="390"/>
      <c r="G9" s="390"/>
      <c r="H9" s="390"/>
      <c r="I9" s="390"/>
      <c r="J9" s="390"/>
      <c r="K9" s="390"/>
      <c r="L9" s="390"/>
      <c r="M9" s="390"/>
    </row>
    <row r="10" spans="1:1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>
      <c r="A11" s="1"/>
      <c r="B11" s="1"/>
      <c r="J11" s="1"/>
    </row>
    <row r="12" spans="1:13">
      <c r="A12" s="1"/>
      <c r="B12" s="1"/>
      <c r="C12" s="797" t="s">
        <v>411</v>
      </c>
      <c r="D12" s="797"/>
      <c r="E12" s="797"/>
      <c r="F12" s="1"/>
      <c r="J12" s="1"/>
    </row>
    <row r="13" spans="1:13" ht="14.25">
      <c r="A13" s="1"/>
      <c r="B13" s="1"/>
      <c r="C13" s="107" t="s">
        <v>91</v>
      </c>
      <c r="D13" s="107" t="s">
        <v>565</v>
      </c>
      <c r="E13" s="107" t="s">
        <v>96</v>
      </c>
      <c r="F13" s="107"/>
      <c r="J13" s="107"/>
    </row>
    <row r="14" spans="1:13">
      <c r="A14" s="1" t="s">
        <v>94</v>
      </c>
      <c r="B14" s="1"/>
      <c r="C14" s="3">
        <v>401556.66000000003</v>
      </c>
      <c r="D14" s="397">
        <f>+C14</f>
        <v>401556.66000000003</v>
      </c>
      <c r="E14" s="397">
        <v>0</v>
      </c>
      <c r="F14" s="6"/>
      <c r="J14" s="6"/>
    </row>
    <row r="15" spans="1:13">
      <c r="A15" s="1"/>
      <c r="B15" s="1"/>
      <c r="C15" s="6"/>
      <c r="D15" s="3"/>
      <c r="E15" s="3"/>
      <c r="F15" s="6"/>
      <c r="J15" s="6"/>
    </row>
    <row r="16" spans="1:13">
      <c r="A16" s="1" t="s">
        <v>99</v>
      </c>
      <c r="B16" s="1"/>
      <c r="C16" s="3">
        <v>1573244.76</v>
      </c>
      <c r="D16" s="371"/>
      <c r="E16" s="371"/>
      <c r="F16" s="1"/>
      <c r="J16" s="1"/>
    </row>
    <row r="17" spans="1:13">
      <c r="A17" s="1" t="s">
        <v>100</v>
      </c>
      <c r="B17" s="1"/>
      <c r="C17" s="632">
        <v>1399970.25</v>
      </c>
      <c r="D17" s="371"/>
      <c r="E17" s="371"/>
      <c r="F17" s="1"/>
      <c r="J17" s="1"/>
    </row>
    <row r="18" spans="1:13" ht="13.5" thickBot="1">
      <c r="A18" s="1" t="s">
        <v>120</v>
      </c>
      <c r="B18" s="1"/>
      <c r="C18" s="469">
        <v>0</v>
      </c>
      <c r="D18" s="470"/>
      <c r="E18" s="470"/>
      <c r="F18" s="1"/>
      <c r="J18" s="1"/>
    </row>
    <row r="19" spans="1:13">
      <c r="A19" s="1" t="s">
        <v>92</v>
      </c>
      <c r="B19" s="1"/>
      <c r="C19" s="6">
        <f>C14+C16+C17+C18</f>
        <v>3374771.67</v>
      </c>
      <c r="D19" s="6">
        <f>D14+D16+D17+D18</f>
        <v>401556.66000000003</v>
      </c>
      <c r="E19" s="6">
        <f>E14+E16+E17+E18</f>
        <v>0</v>
      </c>
      <c r="F19" s="6"/>
      <c r="J19" s="6"/>
    </row>
    <row r="20" spans="1:13">
      <c r="A20" s="1"/>
      <c r="B20" s="1"/>
      <c r="C20" s="6"/>
      <c r="D20" s="6"/>
      <c r="E20" s="6"/>
      <c r="F20" s="6"/>
      <c r="J20" s="6"/>
    </row>
    <row r="21" spans="1:13">
      <c r="A21" s="1"/>
      <c r="B21" s="1"/>
      <c r="C21" s="231" t="s">
        <v>415</v>
      </c>
      <c r="D21" s="124"/>
      <c r="E21" s="6"/>
      <c r="F21" s="6"/>
      <c r="J21" s="6"/>
      <c r="K21" s="6"/>
      <c r="L21" s="6"/>
      <c r="M21" s="6"/>
    </row>
    <row r="22" spans="1:13">
      <c r="A22" s="1"/>
      <c r="B22" s="1"/>
      <c r="C22" s="231"/>
      <c r="D22" s="231"/>
      <c r="E22" s="6"/>
      <c r="F22" s="6"/>
      <c r="G22" s="231"/>
      <c r="H22" s="124"/>
      <c r="I22" s="6"/>
      <c r="J22" s="6"/>
      <c r="K22" s="6"/>
      <c r="L22" s="6"/>
      <c r="M22" s="6"/>
    </row>
    <row r="23" spans="1:13">
      <c r="A23" s="193" t="s">
        <v>268</v>
      </c>
      <c r="L23" s="230"/>
    </row>
    <row r="24" spans="1:13" ht="14.25">
      <c r="A24" s="195" t="s">
        <v>566</v>
      </c>
    </row>
    <row r="25" spans="1:13">
      <c r="A25" s="210" t="s">
        <v>497</v>
      </c>
    </row>
  </sheetData>
  <mergeCells count="5">
    <mergeCell ref="A2:H2"/>
    <mergeCell ref="A4:H4"/>
    <mergeCell ref="A5:H5"/>
    <mergeCell ref="C12:E12"/>
    <mergeCell ref="A3:H3"/>
  </mergeCells>
  <phoneticPr fontId="2" type="noConversion"/>
  <pageMargins left="0.5" right="0.5" top="0.5" bottom="0.5" header="0.5" footer="0.25"/>
  <pageSetup scale="86" orientation="portrait" r:id="rId1"/>
  <headerFooter alignWithMargins="0"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"/>
  <sheetViews>
    <sheetView view="pageBreakPreview" zoomScale="60" zoomScaleNormal="100" workbookViewId="0">
      <selection activeCell="P12" sqref="P12"/>
    </sheetView>
  </sheetViews>
  <sheetFormatPr defaultRowHeight="12.75"/>
  <sheetData>
    <row r="1" spans="1:8">
      <c r="A1" s="210" t="s">
        <v>102</v>
      </c>
      <c r="H1" s="284" t="s">
        <v>102</v>
      </c>
    </row>
    <row r="2" spans="1:8">
      <c r="A2" s="715" t="s">
        <v>587</v>
      </c>
      <c r="B2" s="715"/>
      <c r="C2" s="715"/>
      <c r="D2" s="715"/>
      <c r="E2" s="715"/>
      <c r="F2" s="715"/>
      <c r="G2" s="715"/>
      <c r="H2" s="715"/>
    </row>
    <row r="3" spans="1:8">
      <c r="A3" s="722" t="s">
        <v>567</v>
      </c>
      <c r="B3" s="715"/>
      <c r="C3" s="715"/>
      <c r="D3" s="715"/>
      <c r="E3" s="715"/>
      <c r="F3" s="715"/>
      <c r="G3" s="715"/>
      <c r="H3" s="715"/>
    </row>
    <row r="4" spans="1:8">
      <c r="A4" s="715" t="s">
        <v>580</v>
      </c>
      <c r="B4" s="715"/>
      <c r="C4" s="715"/>
      <c r="D4" s="715"/>
      <c r="E4" s="715"/>
      <c r="F4" s="715"/>
      <c r="G4" s="715"/>
      <c r="H4" s="715"/>
    </row>
    <row r="7" spans="1:8">
      <c r="B7" t="s">
        <v>581</v>
      </c>
    </row>
  </sheetData>
  <mergeCells count="3">
    <mergeCell ref="A2:H2"/>
    <mergeCell ref="A3:H3"/>
    <mergeCell ref="A4:H4"/>
  </mergeCells>
  <phoneticPr fontId="2" type="noConversion"/>
  <pageMargins left="0.5" right="0.5" top="0.5" bottom="0.5" header="0.5" footer="0.25"/>
  <pageSetup scale="86" orientation="portrait" r:id="rId1"/>
  <headerFooter alignWithMargins="0">
    <oddFooter>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Q43"/>
  <sheetViews>
    <sheetView showGridLines="0" view="pageBreakPreview" zoomScale="85" zoomScaleNormal="100" zoomScaleSheetLayoutView="85" workbookViewId="0">
      <selection activeCell="C18" sqref="C18"/>
    </sheetView>
  </sheetViews>
  <sheetFormatPr defaultColWidth="9.140625" defaultRowHeight="12.75"/>
  <cols>
    <col min="1" max="1" width="19.42578125" style="7" customWidth="1"/>
    <col min="2" max="2" width="15.5703125" style="7" customWidth="1"/>
    <col min="3" max="4" width="16.5703125" style="7" customWidth="1"/>
    <col min="5" max="5" width="21.140625" style="7" customWidth="1"/>
    <col min="6" max="6" width="16" style="7" customWidth="1"/>
    <col min="7" max="7" width="16.42578125" style="7" customWidth="1"/>
    <col min="8" max="8" width="13.5703125" style="7" bestFit="1" customWidth="1"/>
    <col min="9" max="9" width="21.42578125" style="7" customWidth="1"/>
    <col min="10" max="10" width="16.140625" style="7" customWidth="1"/>
    <col min="11" max="11" width="16.85546875" style="7" bestFit="1" customWidth="1"/>
    <col min="12" max="12" width="17.42578125" style="7" customWidth="1"/>
    <col min="13" max="13" width="16.140625" style="7" customWidth="1"/>
    <col min="14" max="14" width="13.140625" style="7" customWidth="1"/>
    <col min="15" max="17" width="15.5703125" style="7" customWidth="1"/>
    <col min="18" max="16384" width="9.140625" style="7"/>
  </cols>
  <sheetData>
    <row r="1" spans="1:17">
      <c r="A1" s="7" t="s">
        <v>102</v>
      </c>
      <c r="N1" s="284" t="s">
        <v>102</v>
      </c>
    </row>
    <row r="2" spans="1:17">
      <c r="A2" s="715" t="s">
        <v>587</v>
      </c>
      <c r="B2" s="715"/>
      <c r="C2" s="715"/>
      <c r="D2" s="715"/>
      <c r="E2" s="715"/>
      <c r="F2" s="715"/>
      <c r="G2" s="715"/>
      <c r="H2" s="715"/>
      <c r="I2" s="715"/>
      <c r="J2" s="715"/>
      <c r="K2" s="715"/>
      <c r="L2" s="715"/>
      <c r="M2" s="715"/>
      <c r="N2" s="715"/>
    </row>
    <row r="3" spans="1:17">
      <c r="A3" s="719" t="s">
        <v>571</v>
      </c>
      <c r="B3" s="719"/>
      <c r="C3" s="724"/>
      <c r="D3" s="724"/>
      <c r="E3" s="724"/>
      <c r="F3" s="724"/>
      <c r="G3" s="724"/>
      <c r="H3" s="724"/>
      <c r="I3" s="724"/>
      <c r="J3" s="724"/>
      <c r="K3" s="724"/>
      <c r="L3" s="724"/>
      <c r="M3" s="724"/>
      <c r="O3"/>
      <c r="P3"/>
      <c r="Q3"/>
    </row>
    <row r="4" spans="1:17">
      <c r="A4" s="715" t="s">
        <v>572</v>
      </c>
      <c r="B4" s="715"/>
      <c r="C4" s="715"/>
      <c r="D4" s="715"/>
      <c r="E4" s="715"/>
      <c r="F4" s="715"/>
      <c r="G4" s="715"/>
      <c r="H4" s="715"/>
      <c r="I4" s="715"/>
      <c r="J4" s="715"/>
      <c r="K4" s="715"/>
      <c r="L4" s="715"/>
      <c r="M4" s="715"/>
      <c r="N4" s="715"/>
      <c r="O4"/>
      <c r="P4"/>
      <c r="Q4"/>
    </row>
    <row r="5" spans="1:17">
      <c r="A5" s="723" t="s">
        <v>1175</v>
      </c>
      <c r="B5" s="715"/>
      <c r="C5" s="715"/>
      <c r="D5" s="715"/>
      <c r="E5" s="715"/>
      <c r="F5" s="715"/>
      <c r="G5" s="715"/>
      <c r="H5" s="715"/>
      <c r="I5" s="715"/>
      <c r="J5" s="715"/>
      <c r="K5" s="715"/>
      <c r="L5" s="715"/>
      <c r="M5" s="715"/>
      <c r="N5" s="715"/>
      <c r="O5"/>
      <c r="P5"/>
      <c r="Q5"/>
    </row>
    <row r="7" spans="1:17">
      <c r="C7" s="9" t="s">
        <v>270</v>
      </c>
      <c r="D7" s="628">
        <v>1540003</v>
      </c>
      <c r="E7" s="9" t="s">
        <v>271</v>
      </c>
      <c r="F7" s="9">
        <v>1540006</v>
      </c>
      <c r="G7" s="9">
        <v>1540012</v>
      </c>
      <c r="H7" s="9">
        <v>1540013</v>
      </c>
      <c r="I7" s="9">
        <v>1540022</v>
      </c>
      <c r="J7" s="9">
        <v>1540023</v>
      </c>
      <c r="K7" s="9">
        <v>1540033</v>
      </c>
      <c r="L7" s="702">
        <v>1540038</v>
      </c>
      <c r="M7" s="9"/>
    </row>
    <row r="8" spans="1:17">
      <c r="C8" s="9" t="s">
        <v>272</v>
      </c>
      <c r="D8" s="629" t="s">
        <v>272</v>
      </c>
      <c r="E8" s="9" t="s">
        <v>272</v>
      </c>
      <c r="F8" s="9" t="s">
        <v>588</v>
      </c>
      <c r="G8" s="9" t="s">
        <v>444</v>
      </c>
      <c r="H8" s="9" t="s">
        <v>111</v>
      </c>
      <c r="I8" s="9" t="s">
        <v>272</v>
      </c>
      <c r="J8" s="9" t="s">
        <v>272</v>
      </c>
      <c r="K8" s="676" t="s">
        <v>1097</v>
      </c>
      <c r="L8" s="703" t="s">
        <v>1170</v>
      </c>
      <c r="M8" s="9" t="s">
        <v>272</v>
      </c>
    </row>
    <row r="9" spans="1:17" ht="14.25">
      <c r="A9" s="18" t="s">
        <v>261</v>
      </c>
      <c r="B9" s="18" t="s">
        <v>644</v>
      </c>
      <c r="C9" s="205" t="s">
        <v>273</v>
      </c>
      <c r="D9" s="378" t="s">
        <v>1069</v>
      </c>
      <c r="E9" s="205" t="s">
        <v>274</v>
      </c>
      <c r="F9" s="205" t="s">
        <v>589</v>
      </c>
      <c r="G9" s="205" t="s">
        <v>530</v>
      </c>
      <c r="H9" s="205" t="s">
        <v>590</v>
      </c>
      <c r="I9" s="205" t="s">
        <v>445</v>
      </c>
      <c r="J9" s="205" t="s">
        <v>444</v>
      </c>
      <c r="K9" s="378" t="s">
        <v>1098</v>
      </c>
      <c r="L9" s="378" t="s">
        <v>1171</v>
      </c>
      <c r="M9" s="205" t="s">
        <v>92</v>
      </c>
      <c r="N9" s="205" t="s">
        <v>266</v>
      </c>
    </row>
    <row r="10" spans="1:17">
      <c r="A10" s="209">
        <v>45291</v>
      </c>
      <c r="B10" s="209" t="s">
        <v>94</v>
      </c>
      <c r="C10" s="362">
        <v>70867475.141000003</v>
      </c>
      <c r="D10" s="362">
        <v>1518</v>
      </c>
      <c r="E10" s="42">
        <v>655778.13</v>
      </c>
      <c r="F10" s="42">
        <v>3645773.0700000003</v>
      </c>
      <c r="G10" s="42">
        <v>2773287.1</v>
      </c>
      <c r="H10" s="42">
        <v>0</v>
      </c>
      <c r="I10" s="42">
        <v>127347.99</v>
      </c>
      <c r="J10" s="42">
        <v>5874693.9800000004</v>
      </c>
      <c r="K10" s="42">
        <v>55458.62</v>
      </c>
      <c r="L10" s="42"/>
      <c r="M10" s="43">
        <f>SUM(C10:L10)</f>
        <v>84001332.030999988</v>
      </c>
    </row>
    <row r="11" spans="1:17">
      <c r="B11" s="7" t="s">
        <v>99</v>
      </c>
      <c r="C11" s="362">
        <v>15465771.123</v>
      </c>
      <c r="D11" s="362">
        <v>37725.81</v>
      </c>
      <c r="E11" s="42">
        <v>0</v>
      </c>
      <c r="F11" s="42">
        <v>0</v>
      </c>
      <c r="G11" s="42">
        <v>0</v>
      </c>
      <c r="H11" s="400">
        <v>63645.880000000005</v>
      </c>
      <c r="I11" s="42">
        <v>0</v>
      </c>
      <c r="J11" s="42">
        <v>0</v>
      </c>
      <c r="K11" s="42">
        <v>0</v>
      </c>
      <c r="L11" s="42"/>
      <c r="M11" s="43">
        <f t="shared" ref="M11:M12" si="0">SUM(C11:L11)</f>
        <v>15567142.813000001</v>
      </c>
      <c r="N11" s="27"/>
    </row>
    <row r="12" spans="1:17">
      <c r="B12" s="7" t="s">
        <v>100</v>
      </c>
      <c r="C12" s="364">
        <v>46778127.109999999</v>
      </c>
      <c r="D12" s="364">
        <v>0</v>
      </c>
      <c r="E12" s="95">
        <v>0</v>
      </c>
      <c r="F12" s="95">
        <v>0</v>
      </c>
      <c r="G12" s="95">
        <v>0</v>
      </c>
      <c r="H12" s="95">
        <v>1143481.19</v>
      </c>
      <c r="I12" s="95">
        <v>0</v>
      </c>
      <c r="J12" s="95">
        <v>0</v>
      </c>
      <c r="K12" s="95">
        <v>0</v>
      </c>
      <c r="L12" s="95">
        <v>624558.96</v>
      </c>
      <c r="M12" s="365">
        <f t="shared" si="0"/>
        <v>48546167.259999998</v>
      </c>
      <c r="N12" s="27"/>
    </row>
    <row r="13" spans="1:17">
      <c r="B13" s="7" t="s">
        <v>92</v>
      </c>
      <c r="C13" s="363">
        <f t="shared" ref="C13:M13" si="1">SUM(C10:C12)</f>
        <v>133111373.374</v>
      </c>
      <c r="D13" s="363">
        <f t="shared" si="1"/>
        <v>39243.81</v>
      </c>
      <c r="E13" s="363">
        <f t="shared" si="1"/>
        <v>655778.13</v>
      </c>
      <c r="F13" s="363">
        <f t="shared" si="1"/>
        <v>3645773.0700000003</v>
      </c>
      <c r="G13" s="363">
        <f t="shared" si="1"/>
        <v>2773287.1</v>
      </c>
      <c r="H13" s="363">
        <f t="shared" si="1"/>
        <v>1207127.0699999998</v>
      </c>
      <c r="I13" s="363">
        <f t="shared" si="1"/>
        <v>127347.99</v>
      </c>
      <c r="J13" s="363">
        <f t="shared" si="1"/>
        <v>5874693.9800000004</v>
      </c>
      <c r="K13" s="363">
        <f t="shared" si="1"/>
        <v>55458.62</v>
      </c>
      <c r="L13" s="363"/>
      <c r="M13" s="43">
        <f t="shared" si="1"/>
        <v>148114642.10399997</v>
      </c>
      <c r="N13" s="27" t="s">
        <v>275</v>
      </c>
    </row>
    <row r="14" spans="1:17">
      <c r="E14" s="27"/>
      <c r="F14" s="27"/>
      <c r="G14" s="27"/>
      <c r="H14" s="27"/>
      <c r="I14" s="27"/>
      <c r="J14" s="27"/>
      <c r="K14" s="27"/>
      <c r="L14" s="704"/>
      <c r="M14" s="27"/>
      <c r="N14" s="27"/>
    </row>
    <row r="15" spans="1:17">
      <c r="E15" s="27"/>
      <c r="F15" s="27"/>
      <c r="G15" s="27"/>
      <c r="H15" s="27"/>
      <c r="I15" s="27"/>
      <c r="J15" s="27"/>
      <c r="K15" s="27"/>
      <c r="L15" s="704"/>
      <c r="M15" s="27"/>
      <c r="N15" s="27"/>
    </row>
    <row r="16" spans="1:17">
      <c r="C16" s="9">
        <v>158</v>
      </c>
      <c r="D16" s="628"/>
      <c r="E16" s="27"/>
      <c r="F16" s="27"/>
      <c r="G16" s="27"/>
      <c r="H16" s="27"/>
      <c r="I16" s="27"/>
      <c r="J16" s="27"/>
      <c r="K16" s="27"/>
      <c r="L16" s="704"/>
      <c r="M16" s="27"/>
      <c r="N16" s="27"/>
    </row>
    <row r="17" spans="1:14" ht="14.25">
      <c r="A17" s="18" t="s">
        <v>261</v>
      </c>
      <c r="B17" s="18" t="s">
        <v>645</v>
      </c>
      <c r="C17" s="205" t="s">
        <v>137</v>
      </c>
      <c r="D17" s="205"/>
      <c r="E17" s="27"/>
      <c r="F17" s="27"/>
      <c r="G17" s="27"/>
      <c r="H17" s="27"/>
      <c r="I17" s="27"/>
      <c r="J17" s="27"/>
      <c r="K17" s="27"/>
      <c r="L17" s="704"/>
      <c r="M17" s="27"/>
      <c r="N17" s="205" t="s">
        <v>266</v>
      </c>
    </row>
    <row r="18" spans="1:14">
      <c r="A18" s="209">
        <f>A10</f>
        <v>45291</v>
      </c>
      <c r="B18" s="209" t="s">
        <v>94</v>
      </c>
      <c r="C18" s="42">
        <v>10115774.119999999</v>
      </c>
      <c r="D18" s="42"/>
      <c r="E18" s="27"/>
      <c r="F18" s="27"/>
      <c r="G18" s="27"/>
      <c r="H18" s="27"/>
      <c r="I18" s="27"/>
      <c r="J18" s="27"/>
    </row>
    <row r="19" spans="1:14">
      <c r="A19" s="209"/>
      <c r="B19" s="7" t="s">
        <v>99</v>
      </c>
      <c r="C19" s="42">
        <v>0</v>
      </c>
      <c r="D19" s="42"/>
      <c r="E19" s="27"/>
      <c r="F19" s="27"/>
      <c r="G19" s="27"/>
      <c r="H19" s="27"/>
      <c r="I19" s="27"/>
      <c r="J19" s="27"/>
      <c r="N19" s="27"/>
    </row>
    <row r="20" spans="1:14">
      <c r="A20" s="209"/>
      <c r="B20" s="7" t="s">
        <v>100</v>
      </c>
      <c r="C20" s="95">
        <v>0</v>
      </c>
      <c r="D20" s="400"/>
      <c r="E20" s="27"/>
      <c r="F20" s="27"/>
      <c r="G20" s="27"/>
      <c r="H20" s="27"/>
      <c r="I20" s="27"/>
      <c r="J20" s="27"/>
      <c r="N20" s="27"/>
    </row>
    <row r="21" spans="1:14">
      <c r="A21" s="209"/>
      <c r="B21" s="7" t="s">
        <v>92</v>
      </c>
      <c r="C21" s="43">
        <f>SUM(C18:C20)</f>
        <v>10115774.119999999</v>
      </c>
      <c r="D21" s="43"/>
      <c r="E21" s="27"/>
      <c r="F21" s="27"/>
      <c r="G21" s="27"/>
      <c r="H21" s="27"/>
      <c r="I21" s="27"/>
      <c r="J21" s="27"/>
      <c r="N21" s="27" t="s">
        <v>561</v>
      </c>
    </row>
    <row r="22" spans="1:14">
      <c r="A22" s="209"/>
      <c r="B22" s="209"/>
      <c r="C22" s="42"/>
      <c r="D22" s="42"/>
      <c r="E22" s="27"/>
      <c r="F22" s="27"/>
      <c r="G22" s="27"/>
      <c r="H22" s="27"/>
      <c r="I22" s="27"/>
      <c r="J22" s="27"/>
      <c r="N22" s="27"/>
    </row>
    <row r="23" spans="1:14">
      <c r="A23" s="18" t="s">
        <v>1186</v>
      </c>
      <c r="B23" s="18"/>
      <c r="C23" s="42"/>
      <c r="D23" s="42"/>
      <c r="E23" s="27"/>
      <c r="F23" s="27"/>
      <c r="G23" s="27"/>
      <c r="H23" s="27"/>
      <c r="I23" s="27"/>
      <c r="J23" s="27"/>
      <c r="N23" s="27"/>
    </row>
    <row r="24" spans="1:14">
      <c r="A24" s="209">
        <f>A18</f>
        <v>45291</v>
      </c>
      <c r="B24" s="209" t="s">
        <v>94</v>
      </c>
      <c r="C24" s="422">
        <f>+M10/M13</f>
        <v>0.56713725825983985</v>
      </c>
      <c r="D24" s="422"/>
      <c r="E24" s="27"/>
      <c r="F24" s="27"/>
      <c r="G24" s="27"/>
      <c r="H24" s="27"/>
      <c r="I24" s="27"/>
      <c r="J24" s="27"/>
      <c r="N24" s="27"/>
    </row>
    <row r="25" spans="1:14">
      <c r="A25" s="209"/>
      <c r="B25" s="7" t="s">
        <v>99</v>
      </c>
      <c r="C25" s="422">
        <f>+M11/M13</f>
        <v>0.10510198446193725</v>
      </c>
      <c r="D25" s="422"/>
      <c r="E25" s="27"/>
      <c r="F25" s="27"/>
      <c r="G25" s="27"/>
      <c r="H25" s="27"/>
      <c r="I25" s="27"/>
      <c r="J25" s="27"/>
      <c r="N25" s="27"/>
    </row>
    <row r="26" spans="1:14">
      <c r="A26" s="209"/>
      <c r="B26" s="7" t="s">
        <v>100</v>
      </c>
      <c r="C26" s="386">
        <f>+M12/M13</f>
        <v>0.32776075727822296</v>
      </c>
      <c r="D26" s="630"/>
    </row>
    <row r="27" spans="1:14">
      <c r="A27" s="209"/>
      <c r="B27" s="7" t="s">
        <v>92</v>
      </c>
      <c r="C27" s="387">
        <f>SUM(C24:C26)</f>
        <v>1</v>
      </c>
      <c r="D27" s="387"/>
      <c r="H27"/>
    </row>
    <row r="29" spans="1:14">
      <c r="A29" s="193" t="s">
        <v>268</v>
      </c>
      <c r="B29" s="193"/>
    </row>
    <row r="30" spans="1:14" ht="14.25">
      <c r="A30" s="194" t="s">
        <v>443</v>
      </c>
      <c r="B30" s="194"/>
    </row>
    <row r="31" spans="1:14" ht="14.25">
      <c r="A31" s="195" t="s">
        <v>61</v>
      </c>
      <c r="B31" s="195"/>
    </row>
    <row r="34" spans="3:12">
      <c r="H34" s="304"/>
      <c r="I34" s="304"/>
      <c r="J34" s="304"/>
      <c r="K34" s="304"/>
      <c r="L34" s="304"/>
    </row>
    <row r="36" spans="3:12">
      <c r="C36" s="401"/>
      <c r="D36" s="401"/>
      <c r="E36" s="402"/>
      <c r="H36" s="403"/>
      <c r="I36" s="403"/>
      <c r="J36" s="403"/>
      <c r="K36" s="403"/>
      <c r="L36" s="403"/>
    </row>
    <row r="37" spans="3:12">
      <c r="C37" s="401"/>
      <c r="D37" s="401"/>
      <c r="E37" s="402"/>
      <c r="H37" s="403"/>
      <c r="I37" s="403"/>
      <c r="J37" s="403"/>
      <c r="K37" s="403"/>
      <c r="L37" s="403"/>
    </row>
    <row r="38" spans="3:12">
      <c r="C38" s="401"/>
      <c r="D38" s="401"/>
      <c r="E38" s="402"/>
      <c r="H38" s="403"/>
      <c r="I38" s="403"/>
      <c r="J38" s="403"/>
      <c r="K38" s="403"/>
      <c r="L38" s="403"/>
    </row>
    <row r="39" spans="3:12">
      <c r="C39" s="401"/>
      <c r="D39" s="401"/>
      <c r="E39" s="402"/>
      <c r="H39" s="403"/>
      <c r="I39" s="403"/>
      <c r="J39" s="403"/>
      <c r="K39" s="403"/>
      <c r="L39" s="403"/>
    </row>
    <row r="40" spans="3:12">
      <c r="C40" s="401"/>
      <c r="D40" s="401"/>
      <c r="E40" s="402"/>
      <c r="H40" s="403"/>
      <c r="I40" s="403"/>
      <c r="J40" s="403"/>
      <c r="K40" s="403"/>
      <c r="L40" s="403"/>
    </row>
    <row r="41" spans="3:12">
      <c r="C41" s="401"/>
      <c r="D41" s="401"/>
      <c r="E41" s="402"/>
      <c r="H41" s="403"/>
      <c r="I41" s="403"/>
      <c r="J41" s="403"/>
      <c r="K41" s="403"/>
      <c r="L41" s="403"/>
    </row>
    <row r="42" spans="3:12">
      <c r="C42" s="401"/>
      <c r="D42" s="401"/>
      <c r="E42" s="402"/>
      <c r="H42" s="403"/>
      <c r="I42" s="403"/>
      <c r="J42" s="403"/>
      <c r="K42" s="403"/>
      <c r="L42" s="403"/>
    </row>
    <row r="43" spans="3:12">
      <c r="C43" s="401"/>
      <c r="D43" s="401"/>
      <c r="E43" s="402"/>
      <c r="H43" s="403"/>
      <c r="I43" s="403"/>
      <c r="J43" s="403"/>
      <c r="K43" s="403"/>
      <c r="L43" s="403"/>
    </row>
  </sheetData>
  <mergeCells count="4">
    <mergeCell ref="A2:N2"/>
    <mergeCell ref="A4:N4"/>
    <mergeCell ref="A5:N5"/>
    <mergeCell ref="A3:M3"/>
  </mergeCells>
  <phoneticPr fontId="2" type="noConversion"/>
  <pageMargins left="0.5" right="0.5" top="0.5" bottom="0.5" header="0.5" footer="0.25"/>
  <pageSetup scale="45" orientation="portrait" r:id="rId1"/>
  <headerFooter alignWithMargins="0"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M33"/>
  <sheetViews>
    <sheetView showGridLines="0" view="pageBreakPreview" zoomScaleNormal="100" zoomScaleSheetLayoutView="100" workbookViewId="0">
      <selection activeCell="B11" sqref="B11"/>
    </sheetView>
  </sheetViews>
  <sheetFormatPr defaultColWidth="17.85546875" defaultRowHeight="12.75"/>
  <cols>
    <col min="1" max="1" width="9.42578125" style="7" customWidth="1"/>
    <col min="2" max="2" width="19" style="7" customWidth="1"/>
    <col min="3" max="3" width="16.5703125" style="7" customWidth="1"/>
    <col min="4" max="6" width="10.42578125" style="7" bestFit="1" customWidth="1"/>
    <col min="7" max="7" width="16.42578125" style="7" customWidth="1"/>
    <col min="8" max="8" width="2.85546875" style="7" customWidth="1"/>
    <col min="9" max="9" width="17.42578125" style="7" customWidth="1"/>
    <col min="10" max="10" width="8.42578125" style="7" bestFit="1" customWidth="1"/>
    <col min="11" max="11" width="1.5703125" style="7" customWidth="1"/>
    <col min="12" max="12" width="5.42578125" style="7" bestFit="1" customWidth="1"/>
    <col min="13" max="13" width="20" style="7" customWidth="1"/>
    <col min="14" max="14" width="16.140625" style="7" customWidth="1"/>
    <col min="15" max="15" width="15.5703125" style="7" customWidth="1"/>
    <col min="16" max="17" width="14.42578125" style="7" customWidth="1"/>
    <col min="18" max="18" width="16.5703125" style="7" customWidth="1"/>
    <col min="19" max="19" width="15" style="7" customWidth="1"/>
    <col min="20" max="16384" width="17.85546875" style="7"/>
  </cols>
  <sheetData>
    <row r="1" spans="1:13">
      <c r="A1" s="7" t="s">
        <v>102</v>
      </c>
      <c r="M1" s="284" t="s">
        <v>102</v>
      </c>
    </row>
    <row r="2" spans="1:13">
      <c r="A2" s="725" t="s">
        <v>591</v>
      </c>
      <c r="B2" s="725"/>
      <c r="C2" s="725"/>
      <c r="D2" s="725"/>
      <c r="E2" s="725"/>
      <c r="F2" s="725"/>
      <c r="G2" s="725"/>
      <c r="H2" s="725"/>
      <c r="I2" s="725"/>
      <c r="J2" s="725"/>
      <c r="M2" s="284" t="s">
        <v>102</v>
      </c>
    </row>
    <row r="3" spans="1:13">
      <c r="A3" s="719" t="s">
        <v>573</v>
      </c>
      <c r="B3" s="724"/>
      <c r="C3" s="724"/>
      <c r="D3" s="724"/>
      <c r="E3" s="724"/>
      <c r="F3" s="724"/>
      <c r="G3" s="724"/>
      <c r="H3" s="724"/>
      <c r="I3" s="724"/>
      <c r="J3" s="724"/>
    </row>
    <row r="4" spans="1:13">
      <c r="A4" s="725" t="s">
        <v>574</v>
      </c>
      <c r="B4" s="725"/>
      <c r="C4" s="725"/>
      <c r="D4" s="725"/>
      <c r="E4" s="725"/>
      <c r="F4" s="725"/>
      <c r="G4" s="725"/>
      <c r="H4" s="725"/>
      <c r="I4" s="725"/>
      <c r="J4" s="725"/>
      <c r="M4" s="8" t="s">
        <v>102</v>
      </c>
    </row>
    <row r="5" spans="1:13">
      <c r="A5" s="726" t="s">
        <v>1176</v>
      </c>
      <c r="B5" s="726"/>
      <c r="C5" s="726"/>
      <c r="D5" s="726"/>
      <c r="E5" s="726"/>
      <c r="F5" s="726"/>
      <c r="G5" s="726"/>
      <c r="H5" s="726"/>
      <c r="I5" s="726"/>
      <c r="J5" s="726"/>
    </row>
    <row r="8" spans="1:13">
      <c r="B8" s="40">
        <v>1510001</v>
      </c>
      <c r="C8" s="40">
        <v>1510002</v>
      </c>
      <c r="D8" s="40">
        <v>1510003</v>
      </c>
      <c r="E8" s="40">
        <v>1510004</v>
      </c>
      <c r="F8" s="40">
        <v>1510019</v>
      </c>
      <c r="G8" s="40">
        <v>1510020</v>
      </c>
      <c r="H8"/>
      <c r="L8" s="108"/>
    </row>
    <row r="9" spans="1:13">
      <c r="B9" s="9" t="s">
        <v>260</v>
      </c>
      <c r="C9" s="9" t="s">
        <v>260</v>
      </c>
      <c r="D9" s="9" t="s">
        <v>260</v>
      </c>
      <c r="E9" s="9" t="s">
        <v>260</v>
      </c>
      <c r="F9" s="9" t="s">
        <v>260</v>
      </c>
      <c r="G9" s="9" t="s">
        <v>260</v>
      </c>
      <c r="H9"/>
      <c r="I9" s="9" t="s">
        <v>260</v>
      </c>
      <c r="L9"/>
      <c r="M9"/>
    </row>
    <row r="10" spans="1:13" ht="14.25">
      <c r="A10" s="110" t="s">
        <v>261</v>
      </c>
      <c r="B10" s="18" t="s">
        <v>262</v>
      </c>
      <c r="C10" s="18" t="s">
        <v>263</v>
      </c>
      <c r="D10" s="18" t="s">
        <v>264</v>
      </c>
      <c r="E10" s="18" t="s">
        <v>265</v>
      </c>
      <c r="F10" s="18" t="s">
        <v>592</v>
      </c>
      <c r="G10" s="18" t="s">
        <v>532</v>
      </c>
      <c r="H10"/>
      <c r="I10" s="18" t="s">
        <v>92</v>
      </c>
      <c r="J10" s="205" t="s">
        <v>266</v>
      </c>
      <c r="L10"/>
      <c r="M10"/>
    </row>
    <row r="11" spans="1:13">
      <c r="A11" s="209">
        <v>45261</v>
      </c>
      <c r="B11" s="38">
        <v>279774187.667</v>
      </c>
      <c r="C11" s="38">
        <v>5816654.6299999999</v>
      </c>
      <c r="D11" s="38">
        <v>205439.74</v>
      </c>
      <c r="E11" s="38">
        <v>0</v>
      </c>
      <c r="F11" s="38">
        <v>0</v>
      </c>
      <c r="G11" s="38">
        <v>17578843.52</v>
      </c>
      <c r="H11"/>
      <c r="I11" s="37">
        <f>SUM(B11:H11)</f>
        <v>303375125.55699998</v>
      </c>
      <c r="J11" s="207" t="s">
        <v>531</v>
      </c>
      <c r="L11"/>
      <c r="M11"/>
    </row>
    <row r="12" spans="1:13">
      <c r="B12" s="208"/>
      <c r="C12" s="208"/>
      <c r="D12" s="208"/>
      <c r="E12" s="208"/>
      <c r="F12" s="208"/>
      <c r="G12" s="208"/>
      <c r="H12" s="208"/>
      <c r="I12" s="208"/>
      <c r="L12"/>
      <c r="M12"/>
    </row>
    <row r="13" spans="1:13">
      <c r="I13" s="13"/>
      <c r="L13" s="206" t="s">
        <v>92</v>
      </c>
      <c r="M13" s="13">
        <f>+I11</f>
        <v>303375125.55699998</v>
      </c>
    </row>
    <row r="14" spans="1:13">
      <c r="B14" s="40">
        <v>1520000</v>
      </c>
      <c r="E14"/>
      <c r="F14"/>
      <c r="I14" s="13"/>
      <c r="L14" s="206"/>
      <c r="M14" s="13"/>
    </row>
    <row r="15" spans="1:13">
      <c r="B15" s="9" t="s">
        <v>260</v>
      </c>
      <c r="E15"/>
      <c r="F15"/>
      <c r="I15" s="13"/>
      <c r="L15" s="206"/>
      <c r="M15" s="13"/>
    </row>
    <row r="16" spans="1:13" ht="14.25">
      <c r="A16" s="110" t="s">
        <v>261</v>
      </c>
      <c r="B16" s="18" t="s">
        <v>559</v>
      </c>
      <c r="C16" s="205" t="s">
        <v>266</v>
      </c>
      <c r="E16"/>
      <c r="F16"/>
      <c r="I16" s="13"/>
      <c r="L16" s="206"/>
      <c r="M16" s="13"/>
    </row>
    <row r="17" spans="1:13">
      <c r="A17" s="209">
        <f>A11</f>
        <v>45261</v>
      </c>
      <c r="B17" s="38">
        <v>11642309.640000001</v>
      </c>
      <c r="C17" s="207" t="s">
        <v>560</v>
      </c>
      <c r="E17"/>
      <c r="F17"/>
      <c r="I17" s="13"/>
      <c r="L17" s="206"/>
      <c r="M17" s="13"/>
    </row>
    <row r="18" spans="1:13">
      <c r="A18" s="209"/>
      <c r="B18" s="38" t="s">
        <v>102</v>
      </c>
      <c r="I18" s="13"/>
      <c r="L18" s="206"/>
      <c r="M18" s="13"/>
    </row>
    <row r="19" spans="1:13">
      <c r="A19" s="193" t="s">
        <v>268</v>
      </c>
    </row>
    <row r="20" spans="1:13" ht="14.25">
      <c r="A20" s="194" t="s">
        <v>443</v>
      </c>
    </row>
    <row r="22" spans="1:13" ht="14.25">
      <c r="A22" s="194" t="s">
        <v>102</v>
      </c>
    </row>
    <row r="29" spans="1:13">
      <c r="C29" s="398"/>
      <c r="D29" s="399"/>
      <c r="E29" s="394"/>
      <c r="F29" s="394"/>
      <c r="G29" s="394"/>
      <c r="H29" s="394"/>
      <c r="I29" s="394"/>
      <c r="J29"/>
    </row>
    <row r="30" spans="1:13">
      <c r="C30" s="398"/>
      <c r="D30" s="399"/>
      <c r="E30" s="394"/>
      <c r="F30" s="394"/>
      <c r="G30" s="394"/>
      <c r="H30" s="394"/>
      <c r="I30" s="394"/>
      <c r="J30"/>
    </row>
    <row r="31" spans="1:13">
      <c r="C31" s="398"/>
      <c r="D31" s="399"/>
      <c r="E31" s="394"/>
      <c r="F31" s="394"/>
      <c r="G31" s="394"/>
      <c r="H31" s="394"/>
      <c r="I31" s="394"/>
      <c r="J31"/>
    </row>
    <row r="32" spans="1:13">
      <c r="C32" s="398"/>
      <c r="D32" s="399"/>
      <c r="E32" s="394"/>
      <c r="F32" s="394"/>
      <c r="G32" s="394"/>
      <c r="H32" s="394"/>
      <c r="I32" s="394"/>
      <c r="J32"/>
    </row>
    <row r="33" spans="3:10">
      <c r="C33" s="398"/>
      <c r="D33" s="399"/>
      <c r="E33" s="394"/>
      <c r="F33" s="394"/>
      <c r="G33" s="394"/>
      <c r="H33" s="394"/>
      <c r="I33" s="394"/>
      <c r="J33"/>
    </row>
  </sheetData>
  <mergeCells count="4">
    <mergeCell ref="A2:J2"/>
    <mergeCell ref="A4:J4"/>
    <mergeCell ref="A5:J5"/>
    <mergeCell ref="A3:J3"/>
  </mergeCells>
  <phoneticPr fontId="2" type="noConversion"/>
  <conditionalFormatting sqref="C29:I33">
    <cfRule type="expression" dxfId="9" priority="1" stopIfTrue="1">
      <formula>AND((#REF!&gt;1000000),(#REF!&gt;0.1))</formula>
    </cfRule>
    <cfRule type="expression" dxfId="8" priority="2" stopIfTrue="1">
      <formula>AND((#REF!&lt;-1000000),(#REF!&lt;-0.1))</formula>
    </cfRule>
    <cfRule type="expression" dxfId="7" priority="3" stopIfTrue="1">
      <formula>AND((#REF!&lt;-1000000),(#REF!&gt;0.1))</formula>
    </cfRule>
  </conditionalFormatting>
  <pageMargins left="0.5" right="0.5" top="0.5" bottom="0.5" header="0.5" footer="0.25"/>
  <pageSetup scale="61" orientation="portrait" r:id="rId1"/>
  <headerFooter alignWithMargins="0"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47"/>
  <sheetViews>
    <sheetView showGridLines="0" view="pageBreakPreview" zoomScale="85" zoomScaleNormal="100" zoomScaleSheetLayoutView="85" workbookViewId="0">
      <selection activeCell="B12" sqref="B12"/>
    </sheetView>
  </sheetViews>
  <sheetFormatPr defaultColWidth="9.140625" defaultRowHeight="12.75"/>
  <cols>
    <col min="1" max="1" width="13.140625" style="7" customWidth="1"/>
    <col min="2" max="2" width="19.5703125" style="7" customWidth="1"/>
    <col min="3" max="3" width="28.5703125" style="7" customWidth="1"/>
    <col min="4" max="4" width="19.5703125" style="7" bestFit="1" customWidth="1"/>
    <col min="5" max="5" width="24.42578125" style="7" customWidth="1"/>
    <col min="6" max="6" width="23.85546875" style="7" customWidth="1"/>
    <col min="7" max="7" width="21.42578125" style="7" customWidth="1"/>
    <col min="8" max="8" width="24" style="7" customWidth="1"/>
    <col min="9" max="9" width="20.42578125" style="7" customWidth="1"/>
    <col min="10" max="10" width="11.140625" style="7" customWidth="1"/>
    <col min="11" max="11" width="12.5703125" style="7" bestFit="1" customWidth="1"/>
    <col min="12" max="12" width="8.42578125" style="7" bestFit="1" customWidth="1"/>
    <col min="13" max="13" width="10.85546875" style="7" customWidth="1"/>
    <col min="14" max="14" width="15.5703125" style="7" customWidth="1"/>
    <col min="15" max="18" width="14.5703125" style="7" customWidth="1"/>
    <col min="19" max="16384" width="9.140625" style="7"/>
  </cols>
  <sheetData>
    <row r="1" spans="1:18">
      <c r="A1" s="7" t="s">
        <v>102</v>
      </c>
      <c r="L1" s="284" t="s">
        <v>102</v>
      </c>
    </row>
    <row r="2" spans="1:18">
      <c r="A2" s="725" t="s">
        <v>587</v>
      </c>
      <c r="B2" s="715"/>
      <c r="C2" s="715"/>
      <c r="D2" s="715"/>
      <c r="E2" s="715"/>
      <c r="F2" s="715"/>
      <c r="G2" s="715"/>
      <c r="H2" s="715"/>
      <c r="I2" s="715"/>
      <c r="J2" s="715"/>
      <c r="K2" s="715"/>
      <c r="L2" s="715"/>
      <c r="M2" s="715"/>
    </row>
    <row r="3" spans="1:18">
      <c r="A3" s="719" t="s">
        <v>567</v>
      </c>
      <c r="B3" s="715"/>
      <c r="C3" s="715"/>
      <c r="D3" s="715"/>
      <c r="E3" s="715"/>
      <c r="F3" s="715"/>
      <c r="G3" s="715"/>
      <c r="H3" s="715"/>
      <c r="I3" s="715"/>
      <c r="J3" s="715"/>
      <c r="K3" s="715"/>
      <c r="L3" s="715"/>
      <c r="M3" s="715"/>
    </row>
    <row r="4" spans="1:18">
      <c r="A4" s="725" t="s">
        <v>575</v>
      </c>
      <c r="B4" s="725"/>
      <c r="C4" s="725"/>
      <c r="D4" s="725"/>
      <c r="E4" s="725"/>
      <c r="F4" s="725"/>
      <c r="G4" s="725"/>
      <c r="H4" s="725"/>
      <c r="I4" s="725"/>
      <c r="J4" s="725"/>
      <c r="K4" s="725"/>
      <c r="L4" s="725"/>
      <c r="M4" s="725"/>
    </row>
    <row r="5" spans="1:18">
      <c r="A5" s="727" t="s">
        <v>1176</v>
      </c>
      <c r="B5" s="715"/>
      <c r="C5" s="715"/>
      <c r="D5" s="715"/>
      <c r="E5" s="715"/>
      <c r="F5" s="715"/>
      <c r="G5" s="715"/>
      <c r="H5" s="715"/>
      <c r="I5" s="715"/>
      <c r="J5" s="715"/>
      <c r="K5" s="715"/>
      <c r="L5" s="715"/>
      <c r="M5" s="715"/>
    </row>
    <row r="9" spans="1:18">
      <c r="B9" s="9" t="s">
        <v>276</v>
      </c>
      <c r="C9" s="9">
        <v>1650004</v>
      </c>
      <c r="D9" s="9">
        <v>1650005</v>
      </c>
      <c r="E9" s="9" t="s">
        <v>277</v>
      </c>
      <c r="F9" s="9" t="s">
        <v>278</v>
      </c>
      <c r="G9" s="9" t="s">
        <v>533</v>
      </c>
      <c r="H9" s="418" t="s">
        <v>862</v>
      </c>
      <c r="I9" s="392" t="s">
        <v>1177</v>
      </c>
      <c r="J9"/>
      <c r="K9" s="9"/>
      <c r="O9" s="236"/>
      <c r="P9" s="236"/>
      <c r="Q9" s="236"/>
      <c r="R9" s="236"/>
    </row>
    <row r="10" spans="1:18">
      <c r="B10" s="9" t="s">
        <v>105</v>
      </c>
      <c r="C10" s="9" t="s">
        <v>105</v>
      </c>
      <c r="D10" s="9" t="s">
        <v>105</v>
      </c>
      <c r="E10" s="9" t="s">
        <v>105</v>
      </c>
      <c r="F10" s="9" t="s">
        <v>105</v>
      </c>
      <c r="G10" s="9" t="s">
        <v>105</v>
      </c>
      <c r="H10" s="418" t="s">
        <v>105</v>
      </c>
      <c r="I10" s="9" t="s">
        <v>105</v>
      </c>
      <c r="J10"/>
      <c r="K10" s="9" t="s">
        <v>105</v>
      </c>
    </row>
    <row r="11" spans="1:18" ht="14.25">
      <c r="A11" s="110" t="s">
        <v>261</v>
      </c>
      <c r="B11" s="18" t="s">
        <v>279</v>
      </c>
      <c r="C11" s="18" t="s">
        <v>238</v>
      </c>
      <c r="D11" s="18" t="s">
        <v>446</v>
      </c>
      <c r="E11" s="18" t="s">
        <v>98</v>
      </c>
      <c r="F11" s="18" t="s">
        <v>280</v>
      </c>
      <c r="G11" s="18" t="s">
        <v>534</v>
      </c>
      <c r="H11" s="18" t="s">
        <v>863</v>
      </c>
      <c r="I11" s="18" t="s">
        <v>535</v>
      </c>
      <c r="J11"/>
      <c r="K11" s="18" t="s">
        <v>92</v>
      </c>
      <c r="L11" s="205" t="s">
        <v>266</v>
      </c>
    </row>
    <row r="12" spans="1:18">
      <c r="A12" s="209">
        <v>45261</v>
      </c>
      <c r="B12" s="38">
        <v>2825095.148</v>
      </c>
      <c r="C12" s="530">
        <v>19225</v>
      </c>
      <c r="D12" s="38">
        <v>0</v>
      </c>
      <c r="E12" s="38">
        <v>869666.41999999993</v>
      </c>
      <c r="F12" s="38">
        <v>444706.95</v>
      </c>
      <c r="G12" s="38">
        <v>3044778.38</v>
      </c>
      <c r="H12" s="38">
        <v>0</v>
      </c>
      <c r="I12" s="38">
        <v>0</v>
      </c>
      <c r="J12"/>
      <c r="K12" s="37">
        <f>SUM(B12:J12)+SUM(B17:J17)</f>
        <v>9150636.9279999994</v>
      </c>
      <c r="L12" s="707" t="s">
        <v>281</v>
      </c>
    </row>
    <row r="14" spans="1:18">
      <c r="B14" s="471" t="s">
        <v>102</v>
      </c>
    </row>
    <row r="15" spans="1:18">
      <c r="B15" s="471">
        <v>165001222</v>
      </c>
      <c r="C15" s="515">
        <v>16500035</v>
      </c>
      <c r="D15" s="515">
        <v>16500033</v>
      </c>
      <c r="E15" s="472">
        <v>1650032</v>
      </c>
      <c r="F15" s="472">
        <v>1650041</v>
      </c>
      <c r="G15" s="604">
        <v>1650044</v>
      </c>
      <c r="H15" s="516"/>
    </row>
    <row r="16" spans="1:18">
      <c r="A16" s="110" t="s">
        <v>261</v>
      </c>
      <c r="B16" s="140" t="s">
        <v>865</v>
      </c>
      <c r="C16" s="140" t="s">
        <v>863</v>
      </c>
      <c r="D16" s="140" t="s">
        <v>950</v>
      </c>
      <c r="E16" s="475" t="s">
        <v>866</v>
      </c>
      <c r="F16" s="475" t="s">
        <v>1178</v>
      </c>
      <c r="G16" s="475" t="s">
        <v>1030</v>
      </c>
      <c r="H16" s="516"/>
    </row>
    <row r="17" spans="1:10">
      <c r="A17" s="209">
        <f>A12</f>
        <v>45261</v>
      </c>
      <c r="B17" s="38">
        <v>19297</v>
      </c>
      <c r="C17" s="517">
        <v>0</v>
      </c>
      <c r="D17" s="517">
        <v>0</v>
      </c>
      <c r="E17" s="517">
        <v>0</v>
      </c>
      <c r="F17" s="517">
        <v>1527868.03</v>
      </c>
      <c r="G17" s="517">
        <v>400000</v>
      </c>
      <c r="H17" s="38"/>
    </row>
    <row r="18" spans="1:10">
      <c r="C18" s="7" t="s">
        <v>102</v>
      </c>
    </row>
    <row r="21" spans="1:10">
      <c r="H21"/>
      <c r="I21"/>
      <c r="J21"/>
    </row>
    <row r="22" spans="1:10">
      <c r="B22" s="241" t="s">
        <v>621</v>
      </c>
      <c r="D22" s="241" t="s">
        <v>494</v>
      </c>
      <c r="E22" s="9"/>
      <c r="F22" s="241" t="s">
        <v>408</v>
      </c>
      <c r="G22" s="9"/>
      <c r="H22"/>
      <c r="I22"/>
      <c r="J22"/>
    </row>
    <row r="23" spans="1:10" ht="14.25">
      <c r="A23" s="110" t="s">
        <v>261</v>
      </c>
      <c r="B23" s="244" t="s">
        <v>846</v>
      </c>
      <c r="D23" s="244" t="s">
        <v>54</v>
      </c>
      <c r="E23" s="9"/>
      <c r="F23" s="244" t="s">
        <v>54</v>
      </c>
      <c r="G23" s="9"/>
      <c r="H23"/>
      <c r="I23"/>
      <c r="J23"/>
    </row>
    <row r="24" spans="1:10">
      <c r="A24" s="209">
        <f>A12</f>
        <v>45261</v>
      </c>
      <c r="B24" s="237">
        <f>H12+C17+D17+E17+F17</f>
        <v>1527868.03</v>
      </c>
      <c r="D24" s="243">
        <f>+B12+C12+F12+G12+I12+J12+E12+B17+G17</f>
        <v>7622768.898</v>
      </c>
      <c r="F24" s="243">
        <f>+D12</f>
        <v>0</v>
      </c>
      <c r="H24"/>
      <c r="I24"/>
      <c r="J24"/>
    </row>
    <row r="25" spans="1:10">
      <c r="B25" s="236"/>
      <c r="C25"/>
      <c r="D25"/>
      <c r="E25"/>
      <c r="F25"/>
    </row>
    <row r="26" spans="1:10">
      <c r="B26" s="238"/>
      <c r="C26"/>
      <c r="D26"/>
      <c r="E26"/>
      <c r="F26"/>
    </row>
    <row r="30" spans="1:10">
      <c r="A30" s="193" t="s">
        <v>268</v>
      </c>
    </row>
    <row r="31" spans="1:10" ht="14.25">
      <c r="A31" s="194" t="s">
        <v>443</v>
      </c>
    </row>
    <row r="32" spans="1:10" ht="14.25">
      <c r="A32" s="194" t="s">
        <v>55</v>
      </c>
    </row>
    <row r="33" spans="1:1">
      <c r="A33" s="7" t="s">
        <v>468</v>
      </c>
    </row>
    <row r="34" spans="1:1">
      <c r="A34" s="7" t="s">
        <v>593</v>
      </c>
    </row>
    <row r="35" spans="1:1">
      <c r="A35" s="7" t="s">
        <v>469</v>
      </c>
    </row>
    <row r="36" spans="1:1">
      <c r="A36" s="7" t="s">
        <v>633</v>
      </c>
    </row>
    <row r="37" spans="1:1">
      <c r="A37" s="7" t="s">
        <v>470</v>
      </c>
    </row>
    <row r="38" spans="1:1">
      <c r="A38" s="7" t="s">
        <v>557</v>
      </c>
    </row>
    <row r="39" spans="1:1">
      <c r="A39" s="288" t="s">
        <v>558</v>
      </c>
    </row>
    <row r="40" spans="1:1">
      <c r="A40" s="417" t="s">
        <v>1072</v>
      </c>
    </row>
    <row r="41" spans="1:1">
      <c r="A41" s="417" t="s">
        <v>1071</v>
      </c>
    </row>
    <row r="42" spans="1:1">
      <c r="A42" s="138" t="s">
        <v>951</v>
      </c>
    </row>
    <row r="43" spans="1:1">
      <c r="A43" s="138" t="s">
        <v>952</v>
      </c>
    </row>
    <row r="44" spans="1:1">
      <c r="A44" s="138" t="s">
        <v>953</v>
      </c>
    </row>
    <row r="45" spans="1:1">
      <c r="A45" s="417" t="s">
        <v>867</v>
      </c>
    </row>
    <row r="46" spans="1:1">
      <c r="A46" s="417" t="s">
        <v>1179</v>
      </c>
    </row>
    <row r="47" spans="1:1">
      <c r="A47" s="417" t="s">
        <v>1180</v>
      </c>
    </row>
  </sheetData>
  <mergeCells count="4">
    <mergeCell ref="A2:M2"/>
    <mergeCell ref="A4:M4"/>
    <mergeCell ref="A5:M5"/>
    <mergeCell ref="A3:M3"/>
  </mergeCells>
  <phoneticPr fontId="2" type="noConversion"/>
  <pageMargins left="0.5" right="0.5" top="0.5" bottom="0.5" header="0.5" footer="0.25"/>
  <pageSetup scale="42" orientation="portrait" r:id="rId1"/>
  <headerFooter alignWithMargins="0">
    <oddFooter>&amp;C&amp;A</oddFooter>
  </headerFooter>
  <colBreaks count="1" manualBreakCount="1">
    <brk id="13" max="3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3"/>
  <sheetViews>
    <sheetView showGridLines="0" topLeftCell="A10" zoomScaleNormal="100" zoomScaleSheetLayoutView="100" workbookViewId="0">
      <selection activeCell="G38" sqref="G38"/>
    </sheetView>
  </sheetViews>
  <sheetFormatPr defaultColWidth="11" defaultRowHeight="12.75"/>
  <cols>
    <col min="1" max="1" width="6.140625" style="189" customWidth="1"/>
    <col min="2" max="2" width="12.140625" style="45" customWidth="1"/>
    <col min="3" max="3" width="20.5703125" style="45" customWidth="1"/>
    <col min="4" max="4" width="11.5703125" style="45" customWidth="1"/>
    <col min="5" max="5" width="14.140625" style="45" customWidth="1"/>
    <col min="6" max="6" width="19" style="45" customWidth="1"/>
    <col min="7" max="7" width="22.140625" style="45" customWidth="1"/>
    <col min="8" max="8" width="10.5703125" style="45" customWidth="1"/>
    <col min="9" max="16384" width="11" style="45"/>
  </cols>
  <sheetData>
    <row r="1" spans="1:8">
      <c r="A1" s="189" t="s">
        <v>102</v>
      </c>
      <c r="G1" s="284" t="s">
        <v>102</v>
      </c>
    </row>
    <row r="2" spans="1:8">
      <c r="A2" s="720" t="s">
        <v>587</v>
      </c>
      <c r="B2" s="720"/>
      <c r="C2" s="720"/>
      <c r="D2" s="720"/>
      <c r="E2" s="720"/>
      <c r="F2" s="720"/>
      <c r="G2" s="720"/>
    </row>
    <row r="3" spans="1:8">
      <c r="A3" s="743" t="s">
        <v>576</v>
      </c>
      <c r="B3" s="717"/>
      <c r="C3" s="717"/>
      <c r="D3" s="717"/>
      <c r="E3" s="717"/>
      <c r="F3" s="717"/>
      <c r="G3" s="717"/>
      <c r="H3" s="293"/>
    </row>
    <row r="4" spans="1:8">
      <c r="A4" s="721" t="s">
        <v>577</v>
      </c>
      <c r="B4" s="721"/>
      <c r="C4" s="721"/>
      <c r="D4" s="721"/>
      <c r="E4" s="721"/>
      <c r="F4" s="721"/>
      <c r="G4" s="721"/>
    </row>
    <row r="5" spans="1:8">
      <c r="A5" s="740" t="s">
        <v>1176</v>
      </c>
      <c r="B5" s="741">
        <v>0</v>
      </c>
      <c r="C5" s="741">
        <v>0</v>
      </c>
      <c r="D5" s="741">
        <v>0</v>
      </c>
      <c r="E5" s="741">
        <v>0</v>
      </c>
      <c r="F5" s="741">
        <v>0</v>
      </c>
      <c r="G5" s="741">
        <v>0</v>
      </c>
    </row>
    <row r="6" spans="1:8">
      <c r="A6" s="106"/>
    </row>
    <row r="8" spans="1:8">
      <c r="A8" s="105" t="s">
        <v>118</v>
      </c>
      <c r="C8" s="735" t="s">
        <v>94</v>
      </c>
      <c r="D8" s="742"/>
      <c r="E8" s="742"/>
      <c r="F8" s="742"/>
      <c r="G8" s="736"/>
      <c r="H8" s="105"/>
    </row>
    <row r="9" spans="1:8">
      <c r="A9" s="105"/>
      <c r="C9" s="735" t="s">
        <v>92</v>
      </c>
      <c r="D9" s="736"/>
      <c r="E9" s="735" t="s">
        <v>282</v>
      </c>
      <c r="F9" s="736"/>
      <c r="G9" s="196"/>
      <c r="H9" s="105"/>
    </row>
    <row r="10" spans="1:8" ht="14.25">
      <c r="A10" s="192"/>
      <c r="B10" s="191" t="s">
        <v>97</v>
      </c>
      <c r="C10" s="46" t="s">
        <v>283</v>
      </c>
      <c r="D10" s="197" t="s">
        <v>286</v>
      </c>
      <c r="E10" s="46" t="s">
        <v>283</v>
      </c>
      <c r="F10" s="197" t="s">
        <v>286</v>
      </c>
      <c r="G10" s="302" t="s">
        <v>627</v>
      </c>
      <c r="H10" s="105"/>
    </row>
    <row r="11" spans="1:8">
      <c r="A11" s="105">
        <v>1</v>
      </c>
      <c r="B11" s="209">
        <v>45261</v>
      </c>
      <c r="C11" s="307">
        <v>6999883886</v>
      </c>
      <c r="D11" s="200" t="s">
        <v>428</v>
      </c>
      <c r="E11" s="47">
        <f>144823844+2682604+68653</f>
        <v>147575101</v>
      </c>
      <c r="F11" s="200" t="s">
        <v>815</v>
      </c>
      <c r="G11" s="306">
        <f>+C11-E11</f>
        <v>6852308785</v>
      </c>
      <c r="H11" s="199"/>
    </row>
    <row r="12" spans="1:8">
      <c r="A12" s="105">
        <f>+A11+1</f>
        <v>2</v>
      </c>
      <c r="B12" s="190" t="s">
        <v>92</v>
      </c>
      <c r="C12" s="48"/>
      <c r="D12" s="48"/>
      <c r="E12" s="48"/>
      <c r="F12" s="48"/>
      <c r="G12" s="49">
        <f>+G11</f>
        <v>6852308785</v>
      </c>
      <c r="H12" s="48"/>
    </row>
    <row r="13" spans="1:8">
      <c r="A13" s="105"/>
      <c r="B13" s="201"/>
      <c r="C13" s="48"/>
      <c r="D13" s="48"/>
      <c r="E13" s="48"/>
      <c r="F13" s="48"/>
      <c r="G13" s="48"/>
      <c r="H13" s="48"/>
    </row>
    <row r="14" spans="1:8">
      <c r="A14" s="105"/>
      <c r="B14" s="201"/>
      <c r="C14" s="737" t="s">
        <v>99</v>
      </c>
      <c r="D14" s="738"/>
      <c r="E14" s="738"/>
      <c r="F14" s="738"/>
      <c r="G14" s="739"/>
      <c r="H14" s="48"/>
    </row>
    <row r="15" spans="1:8">
      <c r="C15" s="731" t="s">
        <v>92</v>
      </c>
      <c r="D15" s="732"/>
      <c r="E15" s="733" t="s">
        <v>282</v>
      </c>
      <c r="F15" s="734"/>
      <c r="G15" s="196"/>
      <c r="H15" s="48"/>
    </row>
    <row r="16" spans="1:8" ht="14.25">
      <c r="C16" s="46" t="s">
        <v>283</v>
      </c>
      <c r="D16" s="197" t="s">
        <v>286</v>
      </c>
      <c r="E16" s="46" t="s">
        <v>283</v>
      </c>
      <c r="F16" s="197" t="s">
        <v>286</v>
      </c>
      <c r="G16" s="198" t="s">
        <v>285</v>
      </c>
    </row>
    <row r="17" spans="1:7">
      <c r="A17" s="189">
        <f>+A12+1</f>
        <v>3</v>
      </c>
      <c r="B17" s="209">
        <f>B11</f>
        <v>45261</v>
      </c>
      <c r="C17" s="55">
        <v>4710200340</v>
      </c>
      <c r="D17" s="83" t="s">
        <v>429</v>
      </c>
      <c r="E17" s="55">
        <v>0</v>
      </c>
      <c r="F17" s="84" t="s">
        <v>430</v>
      </c>
      <c r="G17" s="306">
        <f>+C17-E17</f>
        <v>4710200340</v>
      </c>
    </row>
    <row r="18" spans="1:7">
      <c r="A18" s="189">
        <f>+A17+1</f>
        <v>4</v>
      </c>
      <c r="B18" s="190" t="s">
        <v>92</v>
      </c>
      <c r="C18" s="54"/>
      <c r="D18" s="51"/>
      <c r="E18" s="54"/>
      <c r="F18" s="51"/>
      <c r="G18" s="50">
        <f>+G17</f>
        <v>4710200340</v>
      </c>
    </row>
    <row r="19" spans="1:7" ht="12" customHeight="1"/>
    <row r="20" spans="1:7" ht="12" customHeight="1">
      <c r="C20" s="728" t="s">
        <v>100</v>
      </c>
      <c r="D20" s="729"/>
      <c r="E20" s="729"/>
      <c r="F20" s="729"/>
      <c r="G20" s="730"/>
    </row>
    <row r="21" spans="1:7" ht="12" customHeight="1">
      <c r="C21" s="731" t="s">
        <v>92</v>
      </c>
      <c r="D21" s="732"/>
      <c r="E21" s="733" t="s">
        <v>282</v>
      </c>
      <c r="F21" s="734"/>
      <c r="G21" s="196"/>
    </row>
    <row r="22" spans="1:7" ht="12" customHeight="1">
      <c r="C22" s="46" t="s">
        <v>283</v>
      </c>
      <c r="D22" s="197" t="s">
        <v>286</v>
      </c>
      <c r="E22" s="46" t="s">
        <v>283</v>
      </c>
      <c r="F22" s="197" t="s">
        <v>286</v>
      </c>
      <c r="G22" s="198" t="s">
        <v>285</v>
      </c>
    </row>
    <row r="23" spans="1:7" ht="12" customHeight="1">
      <c r="A23" s="189">
        <f>+A18+1</f>
        <v>5</v>
      </c>
      <c r="B23" s="209">
        <f>B11</f>
        <v>45261</v>
      </c>
      <c r="C23" s="55">
        <v>5175188138</v>
      </c>
      <c r="D23" s="84" t="s">
        <v>431</v>
      </c>
      <c r="E23" s="55">
        <v>3069</v>
      </c>
      <c r="F23" s="84" t="s">
        <v>432</v>
      </c>
      <c r="G23" s="306">
        <f>+C23-E23</f>
        <v>5175185069</v>
      </c>
    </row>
    <row r="24" spans="1:7" ht="12" customHeight="1">
      <c r="A24" s="189">
        <f>+A23+1</f>
        <v>6</v>
      </c>
      <c r="B24" s="190" t="s">
        <v>92</v>
      </c>
      <c r="C24" s="51"/>
      <c r="D24" s="51"/>
      <c r="G24" s="52">
        <f>+G23</f>
        <v>5175185069</v>
      </c>
    </row>
    <row r="25" spans="1:7" ht="12" customHeight="1">
      <c r="C25" s="54"/>
      <c r="D25" s="51"/>
    </row>
    <row r="26" spans="1:7">
      <c r="C26" s="728" t="s">
        <v>120</v>
      </c>
      <c r="D26" s="729"/>
      <c r="E26" s="729"/>
      <c r="F26" s="729"/>
      <c r="G26" s="730"/>
    </row>
    <row r="27" spans="1:7">
      <c r="C27" s="731" t="s">
        <v>92</v>
      </c>
      <c r="D27" s="732"/>
      <c r="E27" s="731" t="s">
        <v>282</v>
      </c>
      <c r="F27" s="732"/>
      <c r="G27" s="53"/>
    </row>
    <row r="28" spans="1:7" ht="14.25">
      <c r="C28" s="46" t="s">
        <v>283</v>
      </c>
      <c r="D28" s="202" t="s">
        <v>286</v>
      </c>
      <c r="E28" s="46" t="s">
        <v>283</v>
      </c>
      <c r="F28" s="202" t="s">
        <v>286</v>
      </c>
      <c r="G28" s="198" t="s">
        <v>285</v>
      </c>
    </row>
    <row r="29" spans="1:7">
      <c r="A29" s="189">
        <f>+A24+1</f>
        <v>7</v>
      </c>
      <c r="B29" s="209">
        <f>B11</f>
        <v>45261</v>
      </c>
      <c r="C29" s="55">
        <v>627643206</v>
      </c>
      <c r="D29" s="83" t="s">
        <v>433</v>
      </c>
      <c r="E29" s="55">
        <v>1386653</v>
      </c>
      <c r="F29" s="84" t="s">
        <v>434</v>
      </c>
      <c r="G29" s="306">
        <f>+C29-E29</f>
        <v>626256553</v>
      </c>
    </row>
    <row r="30" spans="1:7">
      <c r="A30" s="189">
        <f>+A29+1</f>
        <v>8</v>
      </c>
      <c r="B30" s="190" t="s">
        <v>92</v>
      </c>
      <c r="G30" s="50">
        <f>+G29</f>
        <v>626256553</v>
      </c>
    </row>
    <row r="31" spans="1:7">
      <c r="B31" s="201"/>
      <c r="G31" s="54"/>
    </row>
    <row r="32" spans="1:7">
      <c r="C32" s="728" t="s">
        <v>107</v>
      </c>
      <c r="D32" s="729"/>
      <c r="E32" s="729"/>
      <c r="F32" s="729"/>
      <c r="G32" s="730"/>
    </row>
    <row r="33" spans="1:10">
      <c r="C33" s="731" t="s">
        <v>92</v>
      </c>
      <c r="D33" s="732"/>
      <c r="E33" s="731" t="s">
        <v>282</v>
      </c>
      <c r="F33" s="732"/>
      <c r="G33" s="53"/>
    </row>
    <row r="34" spans="1:10" ht="14.25">
      <c r="C34" s="46" t="s">
        <v>283</v>
      </c>
      <c r="D34" s="197" t="s">
        <v>286</v>
      </c>
      <c r="E34" s="46" t="s">
        <v>283</v>
      </c>
      <c r="F34" s="202" t="s">
        <v>286</v>
      </c>
      <c r="G34" s="198" t="s">
        <v>285</v>
      </c>
    </row>
    <row r="35" spans="1:10">
      <c r="A35" s="189">
        <f>+A30+1</f>
        <v>9</v>
      </c>
      <c r="B35" s="209">
        <f>B11</f>
        <v>45261</v>
      </c>
      <c r="C35" s="55">
        <v>306526882</v>
      </c>
      <c r="D35" s="83" t="s">
        <v>435</v>
      </c>
      <c r="E35" s="56">
        <v>0</v>
      </c>
      <c r="F35" s="83" t="s">
        <v>267</v>
      </c>
      <c r="G35" s="306">
        <f>+C35-E35</f>
        <v>306526882</v>
      </c>
    </row>
    <row r="36" spans="1:10">
      <c r="A36" s="189">
        <f>+A35+1</f>
        <v>10</v>
      </c>
      <c r="B36" s="190" t="s">
        <v>92</v>
      </c>
      <c r="C36" s="51"/>
      <c r="D36" s="51"/>
      <c r="G36" s="52">
        <f>+G35</f>
        <v>306526882</v>
      </c>
    </row>
    <row r="38" spans="1:10">
      <c r="A38" s="189">
        <f>+A36+1</f>
        <v>11</v>
      </c>
      <c r="B38" s="391" t="s">
        <v>1181</v>
      </c>
      <c r="G38" s="239">
        <f>+G12+G18+G24+G30+G36</f>
        <v>17670477629</v>
      </c>
    </row>
    <row r="40" spans="1:10">
      <c r="A40" s="203" t="s">
        <v>268</v>
      </c>
    </row>
    <row r="41" spans="1:10" ht="14.25">
      <c r="A41" s="204" t="s">
        <v>519</v>
      </c>
    </row>
    <row r="42" spans="1:10" ht="14.25">
      <c r="A42" s="204" t="s">
        <v>345</v>
      </c>
    </row>
    <row r="43" spans="1:10" ht="14.25">
      <c r="A43" s="290" t="s">
        <v>56</v>
      </c>
      <c r="B43"/>
      <c r="C43"/>
      <c r="D43"/>
      <c r="E43"/>
      <c r="F43"/>
      <c r="G43"/>
      <c r="H43"/>
    </row>
    <row r="44" spans="1:10">
      <c r="A44"/>
      <c r="B44"/>
      <c r="C44"/>
      <c r="D44"/>
      <c r="E44"/>
      <c r="F44"/>
      <c r="G44"/>
      <c r="H44"/>
      <c r="I44"/>
      <c r="J44"/>
    </row>
    <row r="45" spans="1:10">
      <c r="A45"/>
      <c r="B45"/>
      <c r="C45"/>
      <c r="D45"/>
      <c r="E45"/>
      <c r="F45"/>
      <c r="G45"/>
      <c r="H45"/>
      <c r="I45"/>
      <c r="J45"/>
    </row>
    <row r="46" spans="1:10">
      <c r="B46"/>
      <c r="C46"/>
      <c r="D46"/>
      <c r="E46"/>
      <c r="F46"/>
      <c r="G46"/>
      <c r="H46"/>
      <c r="I46"/>
      <c r="J46"/>
    </row>
    <row r="47" spans="1:10">
      <c r="G47"/>
      <c r="H47"/>
      <c r="I47"/>
      <c r="J47"/>
    </row>
    <row r="48" spans="1:10">
      <c r="A48" s="289"/>
      <c r="G48"/>
      <c r="H48"/>
      <c r="I48"/>
      <c r="J48"/>
    </row>
    <row r="49" spans="1:10">
      <c r="A49"/>
      <c r="B49"/>
      <c r="C49"/>
      <c r="D49"/>
      <c r="E49"/>
      <c r="F49"/>
      <c r="G49"/>
      <c r="H49"/>
      <c r="I49"/>
      <c r="J49"/>
    </row>
    <row r="50" spans="1:10">
      <c r="A50"/>
      <c r="B50"/>
      <c r="C50"/>
      <c r="D50"/>
      <c r="E50"/>
      <c r="F50"/>
      <c r="G50"/>
      <c r="H50"/>
      <c r="I50"/>
      <c r="J50"/>
    </row>
    <row r="51" spans="1:10">
      <c r="A51"/>
      <c r="B51"/>
      <c r="C51"/>
      <c r="D51"/>
      <c r="E51"/>
      <c r="F51"/>
      <c r="G51"/>
      <c r="H51"/>
      <c r="I51"/>
      <c r="J51"/>
    </row>
    <row r="52" spans="1:10">
      <c r="A52"/>
      <c r="B52"/>
      <c r="C52"/>
      <c r="D52"/>
      <c r="E52"/>
      <c r="F52"/>
      <c r="G52"/>
      <c r="H52"/>
      <c r="I52"/>
      <c r="J52"/>
    </row>
    <row r="53" spans="1:10">
      <c r="A53"/>
      <c r="B53"/>
      <c r="C53"/>
      <c r="D53"/>
      <c r="E53"/>
      <c r="F53"/>
      <c r="G53"/>
      <c r="H53"/>
      <c r="I53"/>
      <c r="J53"/>
    </row>
    <row r="54" spans="1:10">
      <c r="A54"/>
      <c r="B54"/>
      <c r="C54"/>
      <c r="D54"/>
      <c r="E54"/>
      <c r="F54"/>
      <c r="G54"/>
      <c r="H54"/>
      <c r="I54"/>
      <c r="J54"/>
    </row>
    <row r="55" spans="1:10">
      <c r="A55" s="289"/>
      <c r="B55"/>
      <c r="C55"/>
      <c r="D55"/>
      <c r="E55"/>
      <c r="F55"/>
      <c r="G55"/>
      <c r="H55"/>
      <c r="I55"/>
      <c r="J55"/>
    </row>
    <row r="56" spans="1:10">
      <c r="A56"/>
      <c r="B56"/>
      <c r="C56"/>
      <c r="D56"/>
      <c r="E56"/>
      <c r="F56"/>
      <c r="G56"/>
      <c r="H56"/>
      <c r="I56"/>
      <c r="J56"/>
    </row>
    <row r="57" spans="1:10">
      <c r="A57"/>
      <c r="B57"/>
      <c r="C57"/>
      <c r="D57"/>
      <c r="E57"/>
      <c r="F57"/>
      <c r="G57"/>
      <c r="H57"/>
      <c r="I57"/>
      <c r="J57"/>
    </row>
    <row r="58" spans="1:10">
      <c r="A58"/>
      <c r="B58"/>
      <c r="C58"/>
      <c r="D58"/>
      <c r="E58"/>
      <c r="F58"/>
      <c r="G58"/>
      <c r="H58"/>
      <c r="I58"/>
      <c r="J58"/>
    </row>
    <row r="59" spans="1:10">
      <c r="A59"/>
      <c r="B59"/>
      <c r="C59"/>
      <c r="D59"/>
      <c r="E59"/>
      <c r="F59"/>
      <c r="G59"/>
      <c r="H59"/>
      <c r="I59"/>
      <c r="J59"/>
    </row>
    <row r="60" spans="1:10">
      <c r="A60"/>
      <c r="B60"/>
      <c r="C60"/>
      <c r="D60"/>
      <c r="E60"/>
      <c r="F60"/>
      <c r="G60"/>
      <c r="H60"/>
      <c r="I60"/>
      <c r="J60"/>
    </row>
    <row r="61" spans="1:10">
      <c r="A61"/>
      <c r="B61"/>
      <c r="C61"/>
      <c r="D61"/>
      <c r="E61"/>
      <c r="F61"/>
    </row>
    <row r="62" spans="1:10">
      <c r="A62"/>
      <c r="B62"/>
      <c r="C62"/>
      <c r="D62"/>
      <c r="E62"/>
      <c r="F62"/>
    </row>
    <row r="63" spans="1:10">
      <c r="A63" s="291"/>
    </row>
  </sheetData>
  <mergeCells count="19">
    <mergeCell ref="A2:G2"/>
    <mergeCell ref="A4:G4"/>
    <mergeCell ref="A5:G5"/>
    <mergeCell ref="C8:G8"/>
    <mergeCell ref="A3:G3"/>
    <mergeCell ref="C9:D9"/>
    <mergeCell ref="E9:F9"/>
    <mergeCell ref="C14:G14"/>
    <mergeCell ref="C15:D15"/>
    <mergeCell ref="E15:F15"/>
    <mergeCell ref="C32:G32"/>
    <mergeCell ref="C33:D33"/>
    <mergeCell ref="E33:F33"/>
    <mergeCell ref="C20:G20"/>
    <mergeCell ref="C21:D21"/>
    <mergeCell ref="E21:F21"/>
    <mergeCell ref="C26:G26"/>
    <mergeCell ref="C27:D27"/>
    <mergeCell ref="E27:F27"/>
  </mergeCells>
  <phoneticPr fontId="2" type="noConversion"/>
  <pageMargins left="0.5" right="0.5" top="0.5" bottom="0.5" header="0.5" footer="0.25"/>
  <pageSetup scale="86" orientation="portrait" r:id="rId1"/>
  <headerFooter alignWithMargins="0">
    <oddFooter>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K20"/>
  <sheetViews>
    <sheetView showGridLines="0" view="pageBreakPreview" zoomScale="85" zoomScaleNormal="100" zoomScaleSheetLayoutView="85" workbookViewId="0">
      <selection activeCell="B42" sqref="B42"/>
    </sheetView>
  </sheetViews>
  <sheetFormatPr defaultColWidth="10.42578125" defaultRowHeight="12.75"/>
  <cols>
    <col min="1" max="1" width="21.42578125" style="45" customWidth="1"/>
    <col min="2" max="2" width="36.5703125" style="45" customWidth="1"/>
    <col min="3" max="3" width="40.5703125" style="45" customWidth="1"/>
    <col min="4" max="4" width="31.85546875" style="45" customWidth="1"/>
    <col min="5" max="5" width="28.85546875" style="45" customWidth="1"/>
    <col min="6" max="6" width="22" style="45" customWidth="1"/>
    <col min="7" max="7" width="26.140625" style="45" customWidth="1"/>
    <col min="8" max="8" width="19.7109375" style="45" customWidth="1"/>
    <col min="9" max="9" width="19.140625" style="45" customWidth="1"/>
    <col min="10" max="10" width="19" style="45" bestFit="1" customWidth="1"/>
    <col min="11" max="16384" width="10.42578125" style="45"/>
  </cols>
  <sheetData>
    <row r="1" spans="1:11">
      <c r="B1" s="586"/>
      <c r="C1" s="586"/>
      <c r="D1" s="586"/>
      <c r="E1" s="586"/>
      <c r="F1" s="586"/>
      <c r="G1" s="586"/>
      <c r="H1" s="586"/>
      <c r="I1" s="571" t="s">
        <v>102</v>
      </c>
      <c r="J1" s="586"/>
    </row>
    <row r="2" spans="1:11">
      <c r="B2" s="586"/>
      <c r="C2" s="744" t="s">
        <v>594</v>
      </c>
      <c r="D2" s="744"/>
      <c r="E2" s="744"/>
      <c r="F2" s="744"/>
      <c r="G2" s="744"/>
      <c r="H2" s="744"/>
      <c r="I2" s="744"/>
      <c r="J2" s="710"/>
    </row>
    <row r="3" spans="1:11">
      <c r="B3" s="586"/>
      <c r="C3" s="747" t="s">
        <v>576</v>
      </c>
      <c r="D3" s="748"/>
      <c r="E3" s="748"/>
      <c r="F3" s="748"/>
      <c r="G3" s="748"/>
      <c r="H3" s="748"/>
      <c r="I3" s="748"/>
      <c r="J3" s="748"/>
      <c r="K3" s="293"/>
    </row>
    <row r="4" spans="1:11">
      <c r="B4" s="586"/>
      <c r="C4" s="745" t="s">
        <v>578</v>
      </c>
      <c r="D4" s="745"/>
      <c r="E4" s="745"/>
      <c r="F4" s="745"/>
      <c r="G4" s="745"/>
      <c r="H4" s="745"/>
      <c r="I4" s="745"/>
      <c r="J4" s="710"/>
    </row>
    <row r="5" spans="1:11">
      <c r="B5" s="586"/>
      <c r="C5" s="746" t="s">
        <v>1182</v>
      </c>
      <c r="D5" s="746">
        <v>0</v>
      </c>
      <c r="E5" s="746">
        <v>0</v>
      </c>
      <c r="F5" s="746">
        <v>0</v>
      </c>
      <c r="G5" s="746">
        <v>0</v>
      </c>
      <c r="H5" s="746">
        <v>0</v>
      </c>
      <c r="I5" s="746">
        <v>0</v>
      </c>
      <c r="J5" s="710"/>
    </row>
    <row r="6" spans="1:11">
      <c r="B6" s="586"/>
      <c r="D6" s="586"/>
      <c r="E6" s="586"/>
      <c r="F6" s="586"/>
      <c r="G6" s="586"/>
      <c r="H6" s="586"/>
      <c r="I6" s="586"/>
      <c r="J6" s="586"/>
    </row>
    <row r="7" spans="1:11">
      <c r="A7" s="593" t="s">
        <v>1019</v>
      </c>
      <c r="B7" s="593" t="s">
        <v>1020</v>
      </c>
      <c r="C7" s="594"/>
      <c r="D7" s="594"/>
      <c r="E7" s="594"/>
      <c r="F7" s="595"/>
      <c r="G7"/>
      <c r="H7"/>
      <c r="I7"/>
      <c r="J7"/>
    </row>
    <row r="8" spans="1:11">
      <c r="A8" s="593" t="s">
        <v>106</v>
      </c>
      <c r="B8" s="593" t="s">
        <v>1021</v>
      </c>
      <c r="C8" s="596" t="s">
        <v>1022</v>
      </c>
      <c r="D8" s="596" t="s">
        <v>1023</v>
      </c>
      <c r="E8" s="596" t="s">
        <v>426</v>
      </c>
      <c r="F8" s="597" t="s">
        <v>1024</v>
      </c>
      <c r="G8" s="749" t="s">
        <v>1025</v>
      </c>
      <c r="H8" s="750"/>
      <c r="I8"/>
      <c r="J8"/>
    </row>
    <row r="9" spans="1:11">
      <c r="A9" s="678" t="s">
        <v>495</v>
      </c>
      <c r="B9" s="679">
        <v>-2272.79</v>
      </c>
      <c r="C9" s="680">
        <v>-855314.14</v>
      </c>
      <c r="D9" s="680">
        <v>-55586530.689999998</v>
      </c>
      <c r="E9" s="680"/>
      <c r="F9" s="681">
        <v>-56444117.619999997</v>
      </c>
      <c r="G9"/>
      <c r="H9"/>
      <c r="I9"/>
      <c r="J9"/>
    </row>
    <row r="10" spans="1:11">
      <c r="A10" s="682" t="s">
        <v>551</v>
      </c>
      <c r="B10" s="683">
        <v>-1814793328.5700002</v>
      </c>
      <c r="C10" s="684">
        <v>-121707769.01000001</v>
      </c>
      <c r="D10" s="684">
        <v>-3412621479.71</v>
      </c>
      <c r="E10" s="684">
        <v>-965115842.88999999</v>
      </c>
      <c r="F10" s="685">
        <v>-6314238420.1800003</v>
      </c>
      <c r="G10" s="404">
        <v>-6370682537.8029995</v>
      </c>
      <c r="H10" s="598">
        <f>+F9+F10-G10</f>
        <v>2.9993057250976563E-3</v>
      </c>
      <c r="I10" s="625" t="s">
        <v>102</v>
      </c>
      <c r="J10"/>
    </row>
    <row r="11" spans="1:11">
      <c r="A11" s="686">
        <v>1080005</v>
      </c>
      <c r="B11" s="683">
        <v>8706966.0499999896</v>
      </c>
      <c r="C11" s="684">
        <v>1139426.44</v>
      </c>
      <c r="D11" s="684">
        <v>28690847.550000001</v>
      </c>
      <c r="E11" s="684">
        <v>53366227.769999899</v>
      </c>
      <c r="F11" s="685">
        <v>91903467.809999883</v>
      </c>
      <c r="G11" s="404">
        <v>91903467.810000002</v>
      </c>
      <c r="H11" s="598">
        <f>+F11-G11</f>
        <v>-1.1920928955078125E-7</v>
      </c>
      <c r="I11"/>
      <c r="J11"/>
    </row>
    <row r="12" spans="1:11">
      <c r="A12" s="706" t="s">
        <v>1173</v>
      </c>
      <c r="B12" s="683"/>
      <c r="C12" s="684">
        <v>-167604259.66999999</v>
      </c>
      <c r="D12" s="684"/>
      <c r="E12" s="684"/>
      <c r="F12" s="685">
        <v>-167604259.66999999</v>
      </c>
      <c r="G12" s="404">
        <v>-167604259.66999999</v>
      </c>
      <c r="H12" s="598">
        <f>+F12-G12</f>
        <v>0</v>
      </c>
      <c r="I12"/>
      <c r="J12"/>
    </row>
    <row r="13" spans="1:11">
      <c r="A13" s="686">
        <v>1080013</v>
      </c>
      <c r="B13" s="683">
        <v>0</v>
      </c>
      <c r="C13" s="684">
        <v>0</v>
      </c>
      <c r="D13" s="684">
        <v>0</v>
      </c>
      <c r="E13" s="684">
        <v>0</v>
      </c>
      <c r="F13" s="685">
        <v>0</v>
      </c>
      <c r="G13" s="624"/>
      <c r="H13" s="598">
        <f>+F13-G13</f>
        <v>0</v>
      </c>
      <c r="I13"/>
      <c r="J13"/>
    </row>
    <row r="14" spans="1:11">
      <c r="A14" s="599" t="s">
        <v>1024</v>
      </c>
      <c r="B14" s="600">
        <f>SUM(B9:B13)</f>
        <v>-1806088635.3100002</v>
      </c>
      <c r="C14" s="601">
        <f>SUM(C9:C13)</f>
        <v>-289027916.38</v>
      </c>
      <c r="D14" s="601">
        <f>SUM(D9:D13)</f>
        <v>-3439517162.8499999</v>
      </c>
      <c r="E14" s="601">
        <f>SUM(E9:E13)</f>
        <v>-911749615.12000012</v>
      </c>
      <c r="F14" s="602">
        <f>SUM(F9:F13)</f>
        <v>-6446383329.6600008</v>
      </c>
      <c r="G14" s="404">
        <v>-6446383329.6629992</v>
      </c>
      <c r="H14" s="598">
        <f>+F14-G14</f>
        <v>2.99835205078125E-3</v>
      </c>
      <c r="I14"/>
      <c r="J14"/>
    </row>
    <row r="15" spans="1:11">
      <c r="A15"/>
      <c r="B15"/>
      <c r="C15"/>
      <c r="D15"/>
      <c r="E15"/>
      <c r="F15"/>
      <c r="G15"/>
      <c r="H15"/>
      <c r="I15"/>
      <c r="J15"/>
    </row>
    <row r="16" spans="1:11">
      <c r="A16" s="626" t="s">
        <v>1067</v>
      </c>
      <c r="B16" s="627">
        <f>B14-B9</f>
        <v>-1806086362.5200002</v>
      </c>
      <c r="C16" s="627">
        <f t="shared" ref="C16:F16" si="0">C14-C9</f>
        <v>-288172602.24000001</v>
      </c>
      <c r="D16" s="627">
        <f t="shared" si="0"/>
        <v>-3383930632.1599998</v>
      </c>
      <c r="E16" s="627">
        <f t="shared" si="0"/>
        <v>-911749615.12000012</v>
      </c>
      <c r="F16" s="627">
        <f t="shared" si="0"/>
        <v>-6389939212.0400009</v>
      </c>
      <c r="G16"/>
      <c r="H16"/>
      <c r="I16"/>
      <c r="J16"/>
    </row>
    <row r="17" spans="1:10">
      <c r="A17"/>
      <c r="B17" s="598"/>
      <c r="C17" s="598"/>
      <c r="D17" s="598"/>
      <c r="E17" s="598"/>
      <c r="F17" s="598"/>
      <c r="G17"/>
      <c r="H17"/>
      <c r="I17"/>
      <c r="J17"/>
    </row>
    <row r="18" spans="1:10">
      <c r="A18"/>
      <c r="B18"/>
      <c r="C18"/>
      <c r="D18"/>
      <c r="E18"/>
      <c r="F18" s="598">
        <f>+F14-F12</f>
        <v>-6278779069.9900007</v>
      </c>
      <c r="G18" s="603" t="s">
        <v>1026</v>
      </c>
      <c r="H18"/>
      <c r="I18"/>
      <c r="J18"/>
    </row>
    <row r="19" spans="1:10">
      <c r="A19" s="603" t="s">
        <v>1027</v>
      </c>
      <c r="B19"/>
      <c r="C19"/>
      <c r="D19"/>
      <c r="E19"/>
      <c r="F19" s="598">
        <f>+F12</f>
        <v>-167604259.66999999</v>
      </c>
      <c r="G19" s="603" t="s">
        <v>1174</v>
      </c>
      <c r="H19"/>
      <c r="I19"/>
      <c r="J19"/>
    </row>
    <row r="20" spans="1:10">
      <c r="A20" s="603" t="s">
        <v>1028</v>
      </c>
      <c r="B20"/>
      <c r="C20"/>
      <c r="D20"/>
      <c r="E20"/>
      <c r="F20" s="598">
        <f>SUM(F18:F19)</f>
        <v>-6446383329.6600008</v>
      </c>
      <c r="G20"/>
      <c r="H20"/>
      <c r="I20"/>
      <c r="J20"/>
    </row>
  </sheetData>
  <mergeCells count="5">
    <mergeCell ref="C2:J2"/>
    <mergeCell ref="C4:J4"/>
    <mergeCell ref="C5:J5"/>
    <mergeCell ref="C3:J3"/>
    <mergeCell ref="G8:H8"/>
  </mergeCells>
  <phoneticPr fontId="2" type="noConversion"/>
  <pageMargins left="0.5" right="0.5" top="0.5" bottom="0.5" header="0.5" footer="0.25"/>
  <pageSetup scale="57" fitToHeight="0" orientation="landscape" r:id="rId1"/>
  <headerFooter alignWithMargins="0">
    <oddFooter>&amp;C&amp;A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wvc2lzbD48VXNlck5hbWU+Q09SUFxzMjczNjg5PC9Vc2VyTmFtZT48RGF0ZVRpbWU+NC8yNS8yMDIzIDE6MDE6MzMgUE08L0RhdGVUaW1lPjxMYWJlbFN0cmluZz5BRVAgSW50ZXJuYWw8L0xhYmVsU3RyaW5nPjwvaXRlbT48L2xhYmVsSGlzdG9yeT4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</sisl>
</file>

<file path=customXml/itemProps1.xml><?xml version="1.0" encoding="utf-8"?>
<ds:datastoreItem xmlns:ds="http://schemas.openxmlformats.org/officeDocument/2006/customXml" ds:itemID="{949FA80A-2EB2-4579-BC60-493EA8FBBFEB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59137F36-B161-4C2D-B372-525F52B6ED1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34</vt:i4>
      </vt:variant>
    </vt:vector>
  </HeadingPairs>
  <TitlesOfParts>
    <vt:vector size="67" baseType="lpstr">
      <vt:lpstr>WP-1</vt:lpstr>
      <vt:lpstr>WP-2</vt:lpstr>
      <vt:lpstr>WP-3</vt:lpstr>
      <vt:lpstr>WP-4</vt:lpstr>
      <vt:lpstr>WP-5a</vt:lpstr>
      <vt:lpstr>WP-5b</vt:lpstr>
      <vt:lpstr>WP-5c</vt:lpstr>
      <vt:lpstr>WP-6a</vt:lpstr>
      <vt:lpstr>WP-6b</vt:lpstr>
      <vt:lpstr>WP-6c</vt:lpstr>
      <vt:lpstr>WP-6d</vt:lpstr>
      <vt:lpstr>WP-7</vt:lpstr>
      <vt:lpstr>WP-8a</vt:lpstr>
      <vt:lpstr>WP-8ai</vt:lpstr>
      <vt:lpstr>WP-8b</vt:lpstr>
      <vt:lpstr>WP-8c</vt:lpstr>
      <vt:lpstr>WP-9a</vt:lpstr>
      <vt:lpstr>WP-9b</vt:lpstr>
      <vt:lpstr>WP-10a</vt:lpstr>
      <vt:lpstr>WP-11</vt:lpstr>
      <vt:lpstr>WP-12a</vt:lpstr>
      <vt:lpstr>WP-12b</vt:lpstr>
      <vt:lpstr>WP-13</vt:lpstr>
      <vt:lpstr>WP-13a</vt:lpstr>
      <vt:lpstr>WP-14</vt:lpstr>
      <vt:lpstr>WP-15a</vt:lpstr>
      <vt:lpstr>WP-15B</vt:lpstr>
      <vt:lpstr>WP-15c</vt:lpstr>
      <vt:lpstr>WP-15d</vt:lpstr>
      <vt:lpstr>WP-16</vt:lpstr>
      <vt:lpstr>WP-17</vt:lpstr>
      <vt:lpstr>WP-18</vt:lpstr>
      <vt:lpstr>WP-19</vt:lpstr>
      <vt:lpstr>HEADA</vt:lpstr>
      <vt:lpstr>'WP-8ai'!HEADB</vt:lpstr>
      <vt:lpstr>'WP-1'!Print_Area</vt:lpstr>
      <vt:lpstr>'WP-11'!Print_Area</vt:lpstr>
      <vt:lpstr>'WP-12b'!Print_Area</vt:lpstr>
      <vt:lpstr>'WP-13'!Print_Area</vt:lpstr>
      <vt:lpstr>'WP-13a'!Print_Area</vt:lpstr>
      <vt:lpstr>'WP-14'!Print_Area</vt:lpstr>
      <vt:lpstr>'WP-15a'!Print_Area</vt:lpstr>
      <vt:lpstr>'WP-15c'!Print_Area</vt:lpstr>
      <vt:lpstr>'WP-15d'!Print_Area</vt:lpstr>
      <vt:lpstr>'WP-16'!Print_Area</vt:lpstr>
      <vt:lpstr>'WP-17'!Print_Area</vt:lpstr>
      <vt:lpstr>'WP-18'!Print_Area</vt:lpstr>
      <vt:lpstr>'WP-19'!Print_Area</vt:lpstr>
      <vt:lpstr>'WP-2'!Print_Area</vt:lpstr>
      <vt:lpstr>'WP-3'!Print_Area</vt:lpstr>
      <vt:lpstr>'WP-5a'!Print_Area</vt:lpstr>
      <vt:lpstr>'WP-5c'!Print_Area</vt:lpstr>
      <vt:lpstr>'WP-6a'!Print_Area</vt:lpstr>
      <vt:lpstr>'WP-6b'!Print_Area</vt:lpstr>
      <vt:lpstr>'WP-6c'!Print_Area</vt:lpstr>
      <vt:lpstr>'WP-6d'!Print_Area</vt:lpstr>
      <vt:lpstr>'WP-8a'!Print_Area</vt:lpstr>
      <vt:lpstr>'WP-8ai'!Print_Area</vt:lpstr>
      <vt:lpstr>'WP-8c'!Print_Area</vt:lpstr>
      <vt:lpstr>'WP-9b'!Print_Area</vt:lpstr>
      <vt:lpstr>'WP-13'!Print_Titles</vt:lpstr>
      <vt:lpstr>'WP-14'!Print_Titles</vt:lpstr>
      <vt:lpstr>'WP-3'!Print_Titles</vt:lpstr>
      <vt:lpstr>'WP-6a'!Print_Titles</vt:lpstr>
      <vt:lpstr>'WP-6b'!Print_Titles</vt:lpstr>
      <vt:lpstr>'WP-8a'!Print_Titles</vt:lpstr>
      <vt:lpstr>'WP-8ai'!Print_Titles</vt:lpstr>
    </vt:vector>
  </TitlesOfParts>
  <Company>AEP-IT-CPS 4/30/3-(8-835-3050)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AEP</dc:creator>
  <cp:keywords/>
  <cp:lastModifiedBy>Joshua P Baluch</cp:lastModifiedBy>
  <cp:lastPrinted>2020-05-21T20:55:00Z</cp:lastPrinted>
  <dcterms:created xsi:type="dcterms:W3CDTF">2009-06-23T20:32:53Z</dcterms:created>
  <dcterms:modified xsi:type="dcterms:W3CDTF">2024-05-15T12:53:15Z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090183f3-3be2-40c9-8f1e-088a46e6e5ab</vt:lpwstr>
  </property>
  <property fmtid="{D5CDD505-2E9C-101B-9397-08002B2CF9AE}" pid="3" name="bjSaver">
    <vt:lpwstr>HTegTYUHA5Eno747PWutbmINAXeRHZsu</vt:lpwstr>
  </property>
  <property fmtid="{D5CDD505-2E9C-101B-9397-08002B2CF9AE}" pid="4" name="bjDocumentSecurityLabel">
    <vt:lpwstr>AEP Internal</vt:lpwstr>
  </property>
  <property fmtid="{D5CDD505-2E9C-101B-9397-08002B2CF9AE}" pid="5" name="Visual Markings Removed">
    <vt:lpwstr>No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7" name="bjDocumentLabelXML-0">
    <vt:lpwstr>ames.com/2008/01/sie/internal/label"&gt;&lt;element uid="50c31824-0780-4910-87d1-eaaffd182d42" value="" /&gt;&lt;/sisl&gt;</vt:lpwstr>
  </property>
  <property fmtid="{D5CDD505-2E9C-101B-9397-08002B2CF9AE}" pid="8" name="bjLabelHistoryID">
    <vt:lpwstr>{949FA80A-2EB2-4579-BC60-493EA8FBBFEB}</vt:lpwstr>
  </property>
</Properties>
</file>