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FORMULA RATES PJM\APCo Capacity Rate\2023 Updated Filed FERC 2024\No Links\"/>
    </mc:Choice>
  </mc:AlternateContent>
  <xr:revisionPtr revIDLastSave="0" documentId="13_ncr:1_{6F859E3E-7F07-4C1F-8081-F324E4FF2A78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R21" i="16" l="1"/>
  <c r="T21" i="16"/>
  <c r="S21" i="16" l="1"/>
  <c r="D382" i="1"/>
  <c r="D381" i="1"/>
  <c r="D380" i="1"/>
  <c r="D379" i="1"/>
  <c r="D378" i="1"/>
  <c r="N28" i="16" l="1"/>
  <c r="N27" i="16"/>
  <c r="C235" i="27" l="1"/>
  <c r="C197" i="27"/>
  <c r="C153" i="27"/>
  <c r="C105" i="27"/>
  <c r="C55" i="27"/>
  <c r="B33" i="12" l="1"/>
  <c r="B30" i="12"/>
  <c r="C19" i="22"/>
  <c r="D19" i="22" s="1"/>
  <c r="C15" i="22"/>
  <c r="D15" i="22" s="1"/>
  <c r="C13" i="22"/>
  <c r="D13" i="22" s="1"/>
  <c r="C9" i="22"/>
  <c r="D9" i="22" s="1"/>
  <c r="H56" i="13"/>
  <c r="H51" i="13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D21" i="4"/>
  <c r="AG18" i="16"/>
  <c r="AH18" i="16" s="1"/>
  <c r="AG17" i="16"/>
  <c r="AH17" i="16" s="1"/>
  <c r="S27" i="11"/>
  <c r="S25" i="11"/>
  <c r="S17" i="11"/>
  <c r="S16" i="11"/>
  <c r="S14" i="11"/>
  <c r="S13" i="11"/>
  <c r="B29" i="12"/>
  <c r="B28" i="12"/>
  <c r="B27" i="12"/>
  <c r="B26" i="12"/>
  <c r="B25" i="12"/>
  <c r="B22" i="12"/>
  <c r="B14" i="12"/>
  <c r="F17" i="14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 s="1"/>
  <c r="F25" i="26" s="1"/>
  <c r="F28" i="26" s="1"/>
  <c r="E19" i="26"/>
  <c r="E23" i="26" s="1"/>
  <c r="E25" i="26" s="1"/>
  <c r="F69" i="26"/>
  <c r="Y35" i="16"/>
  <c r="C224" i="1"/>
  <c r="C239" i="1"/>
  <c r="C269" i="1"/>
  <c r="A3" i="15"/>
  <c r="AG12" i="16"/>
  <c r="AI12" i="16" s="1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284" i="1"/>
  <c r="C301" i="1" l="1"/>
  <c r="W26" i="16"/>
  <c r="B16" i="12"/>
  <c r="B24" i="12"/>
  <c r="S23" i="11"/>
  <c r="AG47" i="16"/>
  <c r="B18" i="12"/>
  <c r="B20" i="12" l="1"/>
  <c r="B31" i="12" s="1"/>
  <c r="B35" i="12" s="1"/>
  <c r="H25" i="26" l="1"/>
  <c r="H28" i="26" l="1"/>
  <c r="H27" i="26"/>
  <c r="D10" i="26" l="1"/>
  <c r="H10" i="26" s="1"/>
  <c r="H11" i="26" s="1"/>
  <c r="H13" i="26" s="1"/>
  <c r="D58" i="26" l="1"/>
  <c r="D60" i="26"/>
  <c r="G60" i="26" s="1"/>
  <c r="G62" i="26" s="1"/>
  <c r="G64" i="26" s="1"/>
  <c r="D62" i="26" l="1"/>
  <c r="E58" i="26"/>
  <c r="E62" i="26" s="1"/>
  <c r="E64" i="26" s="1"/>
  <c r="C79" i="1" l="1"/>
  <c r="H15" i="26"/>
  <c r="H16" i="26" l="1"/>
  <c r="D46" i="4" l="1"/>
  <c r="D42" i="22" l="1"/>
  <c r="D7" i="26" l="1"/>
  <c r="E7" i="26" l="1"/>
  <c r="E11" i="26" s="1"/>
  <c r="E13" i="26" s="1"/>
  <c r="D17" i="14" l="1"/>
  <c r="AG13" i="16"/>
  <c r="AI13" i="16" s="1"/>
  <c r="AG11" i="16"/>
  <c r="AI11" i="16" l="1"/>
  <c r="E11" i="11" s="1"/>
  <c r="C11" i="11"/>
  <c r="N26" i="16"/>
  <c r="N25" i="16"/>
  <c r="I20" i="11" l="1"/>
  <c r="K20" i="11" s="1"/>
  <c r="M20" i="11" s="1"/>
  <c r="D46" i="26" l="1"/>
  <c r="E46" i="26" l="1"/>
  <c r="E50" i="26" s="1"/>
  <c r="E52" i="26" s="1"/>
  <c r="I14" i="11" l="1"/>
  <c r="K14" i="11" s="1"/>
  <c r="I15" i="11"/>
  <c r="K15" i="11" s="1"/>
  <c r="C82" i="1" l="1"/>
  <c r="I13" i="11"/>
  <c r="K13" i="11" l="1"/>
  <c r="I18" i="11"/>
  <c r="D48" i="26"/>
  <c r="G48" i="26" s="1"/>
  <c r="G50" i="26" l="1"/>
  <c r="G52" i="26" s="1"/>
  <c r="G54" i="26"/>
  <c r="D8" i="26"/>
  <c r="F8" i="26" l="1"/>
  <c r="F11" i="26" s="1"/>
  <c r="F13" i="26" s="1"/>
  <c r="F16" i="26" l="1"/>
  <c r="D34" i="26"/>
  <c r="F34" i="26" s="1"/>
  <c r="F37" i="26" s="1"/>
  <c r="F39" i="26" s="1"/>
  <c r="F42" i="26" s="1"/>
  <c r="D36" i="26"/>
  <c r="H36" i="26" s="1"/>
  <c r="H37" i="26" s="1"/>
  <c r="H39" i="26" s="1"/>
  <c r="H41" i="26" l="1"/>
  <c r="H42" i="26"/>
  <c r="D17" i="15"/>
  <c r="F17" i="15" s="1"/>
  <c r="D13" i="15"/>
  <c r="D47" i="26"/>
  <c r="D15" i="15" l="1"/>
  <c r="F47" i="26"/>
  <c r="F50" i="26" s="1"/>
  <c r="F52" i="26" s="1"/>
  <c r="D9" i="26"/>
  <c r="G9" i="26" l="1"/>
  <c r="D11" i="26"/>
  <c r="F55" i="26"/>
  <c r="F68" i="26" s="1"/>
  <c r="D68" i="26"/>
  <c r="G15" i="26" l="1"/>
  <c r="G11" i="26"/>
  <c r="G13" i="26" s="1"/>
  <c r="D7" i="4"/>
  <c r="D19" i="15"/>
  <c r="D49" i="26"/>
  <c r="G50" i="13" l="1"/>
  <c r="F50" i="13"/>
  <c r="H49" i="26"/>
  <c r="H50" i="26" s="1"/>
  <c r="H52" i="26" s="1"/>
  <c r="D50" i="26"/>
  <c r="F55" i="13"/>
  <c r="G55" i="13"/>
  <c r="D21" i="26"/>
  <c r="G21" i="26" l="1"/>
  <c r="D23" i="26"/>
  <c r="H54" i="26"/>
  <c r="E70" i="26" s="1"/>
  <c r="H55" i="26"/>
  <c r="F70" i="26" s="1"/>
  <c r="F71" i="26" s="1"/>
  <c r="H31" i="13" s="1"/>
  <c r="F15" i="14" s="1"/>
  <c r="D70" i="26"/>
  <c r="G27" i="26" l="1"/>
  <c r="G23" i="26"/>
  <c r="G25" i="26" s="1"/>
  <c r="D27" i="13"/>
  <c r="F25" i="13" l="1"/>
  <c r="G54" i="13" l="1"/>
  <c r="G56" i="13" s="1"/>
  <c r="F56" i="13"/>
  <c r="D25" i="13"/>
  <c r="D54" i="13"/>
  <c r="U29" i="11" l="1"/>
  <c r="V29" i="11" s="1"/>
  <c r="D11" i="15" l="1"/>
  <c r="D21" i="15" s="1"/>
  <c r="E17" i="14" l="1"/>
  <c r="D17" i="4"/>
  <c r="D19" i="4" s="1"/>
  <c r="D23" i="4" s="1"/>
  <c r="AG29" i="16" s="1"/>
  <c r="AH29" i="16" s="1"/>
  <c r="B38" i="12" l="1"/>
  <c r="D9" i="4"/>
  <c r="D11" i="4" s="1"/>
  <c r="D15" i="4" s="1"/>
  <c r="C21" i="22" s="1"/>
  <c r="AG22" i="16"/>
  <c r="C12" i="11" s="1"/>
  <c r="AC7" i="16"/>
  <c r="AB49" i="16"/>
  <c r="F52" i="12"/>
  <c r="I9" i="11"/>
  <c r="K9" i="11" s="1"/>
  <c r="M12" i="16"/>
  <c r="M13" i="16"/>
  <c r="AB47" i="16"/>
  <c r="AB48" i="16"/>
  <c r="AC9" i="16"/>
  <c r="AC13" i="16" s="1"/>
  <c r="M11" i="16"/>
  <c r="M10" i="16"/>
  <c r="D24" i="14" l="1"/>
  <c r="M9" i="11"/>
  <c r="F24" i="14" s="1"/>
  <c r="D21" i="22"/>
  <c r="M19" i="16"/>
  <c r="D11" i="16" s="1"/>
  <c r="B40" i="12"/>
  <c r="D14" i="3"/>
  <c r="I13" i="3"/>
  <c r="AC15" i="16"/>
  <c r="G13" i="16" s="1"/>
  <c r="D13" i="16"/>
  <c r="C31" i="15"/>
  <c r="S15" i="11"/>
  <c r="S21" i="11" s="1"/>
  <c r="AB38" i="16"/>
  <c r="AB52" i="16" s="1"/>
  <c r="C69" i="1"/>
  <c r="AI19" i="16"/>
  <c r="AI25" i="16" s="1"/>
  <c r="E9" i="11" s="1"/>
  <c r="E14" i="11" s="1"/>
  <c r="AH19" i="16"/>
  <c r="AH25" i="16" s="1"/>
  <c r="D9" i="11" s="1"/>
  <c r="D14" i="11" s="1"/>
  <c r="N24" i="16"/>
  <c r="L43" i="16" l="1"/>
  <c r="L45" i="16" s="1"/>
  <c r="N30" i="16"/>
  <c r="C22" i="1"/>
  <c r="G12" i="13" s="1"/>
  <c r="F12" i="13"/>
  <c r="H25" i="13" s="1"/>
  <c r="S35" i="11"/>
  <c r="F51" i="13"/>
  <c r="G49" i="13"/>
  <c r="G51" i="13" s="1"/>
  <c r="D15" i="16"/>
  <c r="F50" i="12"/>
  <c r="AG19" i="16"/>
  <c r="AG25" i="16" s="1"/>
  <c r="C9" i="11" s="1"/>
  <c r="C14" i="11" s="1"/>
  <c r="D49" i="13" l="1"/>
  <c r="D12" i="13"/>
  <c r="D16" i="13" s="1"/>
  <c r="L13" i="11"/>
  <c r="M13" i="11" s="1"/>
  <c r="G25" i="13"/>
  <c r="D17" i="16"/>
  <c r="E15" i="16" s="1"/>
  <c r="H15" i="16" s="1"/>
  <c r="C30" i="15"/>
  <c r="F53" i="12"/>
  <c r="D23" i="12" l="1"/>
  <c r="D15" i="12"/>
  <c r="D14" i="12"/>
  <c r="D22" i="12"/>
  <c r="D30" i="12"/>
  <c r="D33" i="12"/>
  <c r="D19" i="12"/>
  <c r="U23" i="11"/>
  <c r="D28" i="12"/>
  <c r="D26" i="12"/>
  <c r="D31" i="15"/>
  <c r="F11" i="15" s="1"/>
  <c r="D29" i="12"/>
  <c r="D27" i="12"/>
  <c r="D18" i="12"/>
  <c r="D25" i="12"/>
  <c r="D38" i="12"/>
  <c r="D29" i="14"/>
  <c r="U21" i="11"/>
  <c r="V28" i="16"/>
  <c r="W30" i="16" s="1"/>
  <c r="W32" i="16" s="1"/>
  <c r="N33" i="16" s="1"/>
  <c r="N35" i="16" s="1"/>
  <c r="N37" i="16" s="1"/>
  <c r="G11" i="16" s="1"/>
  <c r="E13" i="16"/>
  <c r="H13" i="16" s="1"/>
  <c r="E11" i="16"/>
  <c r="H19" i="13"/>
  <c r="G19" i="13"/>
  <c r="D28" i="17"/>
  <c r="F19" i="13"/>
  <c r="E17" i="16" l="1"/>
  <c r="H11" i="16"/>
  <c r="D20" i="12"/>
  <c r="E18" i="12"/>
  <c r="F18" i="12"/>
  <c r="E38" i="12"/>
  <c r="F38" i="12"/>
  <c r="E29" i="12"/>
  <c r="F29" i="12"/>
  <c r="E22" i="12"/>
  <c r="D24" i="12"/>
  <c r="F22" i="12"/>
  <c r="E25" i="12"/>
  <c r="F25" i="12"/>
  <c r="E33" i="12"/>
  <c r="F33" i="12"/>
  <c r="E27" i="12"/>
  <c r="F27" i="12"/>
  <c r="E30" i="12"/>
  <c r="F30" i="12"/>
  <c r="D16" i="12"/>
  <c r="D31" i="12" s="1"/>
  <c r="E14" i="12"/>
  <c r="F14" i="12"/>
  <c r="E19" i="12"/>
  <c r="F19" i="12"/>
  <c r="E26" i="12"/>
  <c r="F26" i="12"/>
  <c r="E15" i="12"/>
  <c r="F15" i="12"/>
  <c r="H17" i="16"/>
  <c r="D18" i="17"/>
  <c r="E29" i="14"/>
  <c r="F29" i="14"/>
  <c r="E28" i="12"/>
  <c r="F28" i="12"/>
  <c r="E23" i="12"/>
  <c r="F23" i="12"/>
  <c r="E16" i="12" l="1"/>
  <c r="E24" i="12"/>
  <c r="E20" i="12"/>
  <c r="F36" i="14"/>
  <c r="D19" i="17"/>
  <c r="D36" i="14"/>
  <c r="E36" i="14"/>
  <c r="F16" i="12"/>
  <c r="F31" i="12" s="1"/>
  <c r="D35" i="12"/>
  <c r="D40" i="12" s="1"/>
  <c r="D32" i="12"/>
  <c r="F20" i="12"/>
  <c r="E31" i="12"/>
  <c r="F24" i="12"/>
  <c r="D42" i="12" l="1"/>
  <c r="F14" i="13"/>
  <c r="F16" i="13" s="1"/>
  <c r="F32" i="12"/>
  <c r="F35" i="12"/>
  <c r="F40" i="12" s="1"/>
  <c r="E32" i="12"/>
  <c r="E35" i="12"/>
  <c r="E40" i="12" s="1"/>
  <c r="D35" i="26"/>
  <c r="G35" i="26" s="1"/>
  <c r="E42" i="12" l="1"/>
  <c r="G14" i="13"/>
  <c r="G16" i="13" s="1"/>
  <c r="G37" i="26"/>
  <c r="G39" i="26" s="1"/>
  <c r="D69" i="26" s="1"/>
  <c r="D71" i="26" s="1"/>
  <c r="F31" i="13" s="1"/>
  <c r="D15" i="14" s="1"/>
  <c r="G41" i="26"/>
  <c r="E69" i="26" s="1"/>
  <c r="E71" i="26" s="1"/>
  <c r="G31" i="13" s="1"/>
  <c r="E15" i="14" s="1"/>
  <c r="H14" i="13"/>
  <c r="H16" i="13" s="1"/>
  <c r="F42" i="12"/>
  <c r="W21" i="11"/>
  <c r="W23" i="11"/>
  <c r="D29" i="17"/>
  <c r="D33" i="17" s="1"/>
  <c r="D22" i="17" s="1"/>
  <c r="D23" i="17" s="1"/>
  <c r="D10" i="14"/>
  <c r="F18" i="13"/>
  <c r="F20" i="13" s="1"/>
  <c r="V21" i="11"/>
  <c r="V23" i="11"/>
  <c r="K16" i="11"/>
  <c r="K18" i="11" s="1"/>
  <c r="D25" i="14" s="1"/>
  <c r="D26" i="14" s="1"/>
  <c r="U25" i="11"/>
  <c r="U31" i="11"/>
  <c r="U33" i="11"/>
  <c r="C23" i="22"/>
  <c r="F27" i="13"/>
  <c r="F29" i="13" s="1"/>
  <c r="D11" i="14" s="1"/>
  <c r="D47" i="22" l="1"/>
  <c r="D48" i="22" s="1"/>
  <c r="W33" i="11"/>
  <c r="W31" i="11"/>
  <c r="M16" i="11"/>
  <c r="M18" i="11" s="1"/>
  <c r="F25" i="14" s="1"/>
  <c r="F26" i="14" s="1"/>
  <c r="W25" i="11"/>
  <c r="H27" i="13"/>
  <c r="H29" i="13" s="1"/>
  <c r="F11" i="14" s="1"/>
  <c r="H17" i="13"/>
  <c r="F10" i="14"/>
  <c r="D31" i="17"/>
  <c r="D35" i="17" s="1"/>
  <c r="H18" i="13"/>
  <c r="H20" i="13" s="1"/>
  <c r="D33" i="26"/>
  <c r="C27" i="1"/>
  <c r="D31" i="13" s="1"/>
  <c r="U27" i="11"/>
  <c r="U35" i="11" s="1"/>
  <c r="F15" i="15"/>
  <c r="F13" i="15"/>
  <c r="D28" i="14"/>
  <c r="D30" i="14" s="1"/>
  <c r="E23" i="22"/>
  <c r="E26" i="22" s="1"/>
  <c r="D23" i="22"/>
  <c r="D26" i="22" s="1"/>
  <c r="D40" i="4" s="1"/>
  <c r="C26" i="22"/>
  <c r="D13" i="14"/>
  <c r="D19" i="14" s="1"/>
  <c r="D30" i="17"/>
  <c r="D34" i="17" s="1"/>
  <c r="E10" i="14"/>
  <c r="G17" i="13"/>
  <c r="G18" i="13"/>
  <c r="G20" i="13" s="1"/>
  <c r="V25" i="11"/>
  <c r="L16" i="11"/>
  <c r="L18" i="11" s="1"/>
  <c r="E25" i="14" s="1"/>
  <c r="E26" i="14" s="1"/>
  <c r="D44" i="22"/>
  <c r="D45" i="22" s="1"/>
  <c r="V31" i="11"/>
  <c r="V33" i="11"/>
  <c r="G27" i="13"/>
  <c r="G29" i="13" s="1"/>
  <c r="E11" i="14" s="1"/>
  <c r="F21" i="15" l="1"/>
  <c r="D42" i="4" s="1"/>
  <c r="E13" i="14"/>
  <c r="E19" i="14" s="1"/>
  <c r="C16" i="11"/>
  <c r="C18" i="11" s="1"/>
  <c r="C20" i="11" s="1"/>
  <c r="D32" i="14" s="1"/>
  <c r="D34" i="14" s="1"/>
  <c r="D38" i="14" s="1"/>
  <c r="K8" i="15" s="1"/>
  <c r="AG27" i="16"/>
  <c r="AG31" i="16" s="1"/>
  <c r="F13" i="14"/>
  <c r="F19" i="14" s="1"/>
  <c r="D37" i="26"/>
  <c r="E33" i="26"/>
  <c r="E37" i="26" s="1"/>
  <c r="E39" i="26" s="1"/>
  <c r="W27" i="11"/>
  <c r="W35" i="11" s="1"/>
  <c r="F28" i="14"/>
  <c r="F30" i="14" s="1"/>
  <c r="V27" i="11"/>
  <c r="V35" i="11" s="1"/>
  <c r="E28" i="14"/>
  <c r="E30" i="14" s="1"/>
  <c r="D49" i="22"/>
  <c r="AI27" i="16" l="1"/>
  <c r="AI31" i="16" s="1"/>
  <c r="E16" i="11"/>
  <c r="E18" i="11" s="1"/>
  <c r="E20" i="11" s="1"/>
  <c r="F32" i="14" s="1"/>
  <c r="F34" i="14" s="1"/>
  <c r="F38" i="14" s="1"/>
  <c r="M8" i="15" s="1"/>
  <c r="AH27" i="16"/>
  <c r="AH31" i="16" s="1"/>
  <c r="D38" i="4" s="1"/>
  <c r="D16" i="11"/>
  <c r="D18" i="11" s="1"/>
  <c r="D20" i="11" s="1"/>
  <c r="E32" i="14" s="1"/>
  <c r="E34" i="14" s="1"/>
  <c r="E38" i="14" s="1"/>
  <c r="D36" i="4" l="1"/>
  <c r="L8" i="15"/>
  <c r="D16" i="17" l="1"/>
  <c r="D6" i="17" s="1"/>
  <c r="D13" i="17" s="1"/>
  <c r="D24" i="17" s="1"/>
  <c r="K14" i="15" s="1"/>
  <c r="D8" i="17" l="1"/>
  <c r="K10" i="15" s="1"/>
  <c r="M10" i="15" s="1"/>
  <c r="M12" i="15" s="1"/>
  <c r="L10" i="15"/>
  <c r="L12" i="15" s="1"/>
  <c r="K12" i="15"/>
  <c r="K16" i="15" s="1"/>
  <c r="L14" i="15"/>
  <c r="M14" i="15"/>
  <c r="L16" i="15" l="1"/>
  <c r="D44" i="4" s="1"/>
  <c r="D50" i="4" s="1"/>
  <c r="I12" i="3" s="1"/>
  <c r="L12" i="3" s="1"/>
  <c r="C14" i="3" s="1"/>
  <c r="E14" i="3" s="1"/>
  <c r="M16" i="15"/>
</calcChain>
</file>

<file path=xl/sharedStrings.xml><?xml version="1.0" encoding="utf-8"?>
<sst xmlns="http://schemas.openxmlformats.org/spreadsheetml/2006/main" count="2439" uniqueCount="1177">
  <si>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</si>
  <si>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</si>
  <si>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</si>
  <si>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</si>
  <si>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</si>
  <si>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</si>
  <si>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</si>
  <si>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</si>
  <si>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</si>
  <si>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</si>
  <si>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</si>
  <si>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</si>
  <si>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</si>
  <si>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</si>
  <si>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</si>
  <si>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</si>
  <si>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</si>
  <si>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</si>
  <si>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</si>
  <si>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</si>
  <si>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</si>
  <si>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</si>
  <si>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</si>
  <si>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</si>
  <si>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</si>
  <si>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</si>
  <si>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</si>
  <si>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</si>
  <si>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</si>
  <si>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</si>
  <si>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</si>
  <si>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</si>
  <si>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</si>
  <si>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</si>
  <si>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</si>
  <si>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</si>
  <si>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</si>
  <si>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</si>
  <si>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</si>
  <si>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</si>
  <si>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</si>
  <si>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</si>
  <si>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</si>
  <si>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</si>
  <si>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</si>
  <si>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</si>
  <si>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</si>
  <si>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</si>
  <si>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</si>
  <si>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</si>
  <si>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</si>
  <si>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</si>
  <si>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</si>
  <si>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</si>
  <si>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</si>
  <si>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</si>
  <si>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</si>
  <si>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</si>
  <si>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</si>
  <si>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</si>
  <si>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</si>
  <si>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</si>
  <si>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</si>
  <si>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</si>
  <si>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</si>
  <si>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</si>
  <si>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</si>
  <si>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</si>
  <si>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</si>
  <si>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</si>
  <si>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</si>
  <si>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</si>
  <si>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</si>
  <si>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</si>
  <si>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</si>
  <si>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</si>
  <si>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</si>
  <si>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</si>
  <si>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</si>
  <si>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</si>
  <si>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</si>
  <si>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</si>
  <si>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</si>
  <si>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</si>
  <si>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</si>
  <si>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</si>
  <si>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</si>
  <si>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</si>
  <si>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</si>
  <si>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</si>
  <si>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</si>
  <si>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</si>
  <si>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</si>
  <si>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</si>
  <si>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</si>
  <si>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</si>
  <si>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</si>
  <si>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</si>
  <si>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</si>
  <si>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</si>
  <si>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</si>
  <si>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</si>
  <si>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</si>
  <si>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</si>
  <si>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</si>
  <si>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</si>
  <si>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</si>
  <si>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</si>
  <si>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</si>
  <si>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</si>
  <si>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</si>
  <si>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</si>
  <si>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</si>
  <si>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</si>
  <si>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</si>
  <si>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</si>
  <si>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</si>
  <si>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</si>
  <si>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</si>
  <si>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</si>
  <si>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</si>
  <si>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</si>
  <si>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</si>
  <si>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</si>
  <si>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</si>
  <si>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</si>
  <si>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</si>
  <si>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</si>
  <si>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</si>
  <si>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</si>
  <si>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</si>
  <si>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</si>
  <si>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</si>
  <si>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</si>
  <si>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</si>
  <si>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</si>
  <si>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</si>
  <si>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</si>
  <si>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</si>
  <si>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</si>
  <si>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</si>
  <si>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</si>
  <si>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</si>
  <si>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</si>
  <si>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</si>
  <si>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</si>
  <si>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</si>
  <si>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</si>
  <si>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</si>
  <si>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</si>
  <si>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</si>
  <si>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</si>
  <si>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</si>
  <si>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</si>
  <si>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</si>
  <si>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</si>
  <si>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</si>
  <si>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</si>
  <si>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</si>
  <si>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</si>
  <si>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</si>
  <si>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</si>
  <si>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</si>
  <si>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</si>
  <si>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</si>
  <si>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</si>
  <si>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</si>
  <si>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</si>
  <si>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</si>
  <si>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</si>
  <si>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</si>
  <si>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</si>
  <si>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</si>
  <si>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</si>
  <si>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</si>
  <si>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</si>
  <si>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</si>
  <si>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</si>
  <si>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</si>
  <si>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</si>
  <si>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</si>
  <si>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</si>
  <si>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</si>
  <si>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</si>
  <si>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</si>
  <si>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</si>
  <si>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</si>
  <si>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</si>
  <si>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</si>
  <si>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</si>
  <si>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</si>
  <si>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</si>
  <si>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</si>
  <si>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</si>
  <si>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</si>
  <si>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</si>
  <si>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</si>
  <si>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</si>
  <si>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</si>
  <si>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</si>
  <si>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</si>
  <si>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</si>
  <si>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</si>
  <si>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</si>
  <si>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</si>
  <si>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</si>
  <si>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</si>
  <si>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</si>
  <si>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</si>
  <si>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</si>
  <si>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</si>
  <si>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</si>
  <si>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</si>
  <si>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</si>
  <si>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</si>
  <si>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</si>
  <si>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</si>
  <si>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</si>
  <si>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</si>
  <si>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</si>
  <si>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</si>
  <si>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</si>
  <si>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</si>
  <si>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</si>
  <si>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</si>
  <si>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</si>
  <si>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</si>
  <si>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</si>
  <si>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</si>
  <si>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</si>
  <si>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</si>
  <si>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</si>
  <si>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</si>
  <si>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</si>
  <si>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</si>
  <si>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</si>
  <si>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</si>
  <si>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</si>
  <si>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</si>
  <si>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</si>
  <si>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</si>
  <si>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</si>
  <si>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</si>
  <si>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</si>
  <si>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</si>
  <si>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</si>
  <si>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</si>
  <si>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</si>
  <si>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</si>
  <si>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</si>
  <si>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</si>
  <si>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</si>
  <si>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</si>
  <si>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</si>
  <si>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</si>
  <si>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</si>
  <si>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</si>
  <si>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</si>
  <si>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</si>
  <si>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</si>
  <si>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</si>
  <si>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</si>
  <si>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</si>
  <si>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</si>
  <si>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</si>
  <si>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</si>
  <si>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</si>
  <si>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</si>
  <si>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</si>
  <si>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</si>
  <si>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</si>
  <si>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</si>
  <si>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</si>
  <si>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</si>
  <si>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</si>
  <si>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</si>
  <si>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</si>
  <si>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</si>
  <si>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</si>
  <si>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</si>
  <si>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</si>
  <si>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</si>
  <si>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</si>
  <si>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</si>
  <si>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</si>
  <si>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</si>
  <si>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</si>
  <si>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</si>
  <si>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</si>
  <si>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</si>
  <si>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</si>
  <si>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</si>
  <si>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</si>
  <si>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</si>
  <si>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</si>
  <si>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</si>
  <si>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</si>
  <si>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</si>
  <si>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</si>
  <si>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</si>
  <si>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</si>
  <si>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</si>
  <si>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</si>
  <si>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</si>
  <si>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</si>
  <si>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</si>
  <si>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</si>
  <si>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</si>
  <si>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</si>
  <si>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</si>
  <si>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</si>
  <si>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</si>
  <si>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</si>
  <si>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</si>
  <si>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</si>
  <si>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</si>
  <si>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</si>
  <si>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</si>
  <si>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</si>
  <si>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</si>
  <si>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</si>
  <si>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</si>
  <si>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</si>
  <si>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</si>
  <si>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</si>
  <si>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</si>
  <si>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</si>
  <si>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</si>
  <si>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</si>
  <si>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</si>
  <si>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</si>
  <si>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</si>
  <si>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</si>
  <si>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</si>
  <si>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</si>
  <si>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</si>
  <si>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</si>
  <si>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</si>
  <si>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</si>
  <si>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</si>
  <si>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</si>
  <si>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</si>
  <si>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</si>
  <si>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</si>
  <si>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</si>
  <si>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</si>
  <si>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</si>
  <si>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</si>
  <si>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</si>
  <si>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</si>
  <si>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</si>
  <si>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</si>
  <si>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</si>
  <si>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</si>
  <si>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</si>
  <si>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</si>
  <si>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</si>
  <si>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</si>
  <si>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</si>
  <si>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</si>
  <si>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</si>
  <si>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</si>
  <si>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</si>
  <si>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</si>
  <si>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</si>
  <si>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</si>
  <si>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</si>
  <si>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</si>
  <si>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</si>
  <si>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</si>
  <si>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</si>
  <si>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</si>
  <si>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</si>
  <si>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</si>
  <si>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</si>
  <si>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</si>
  <si>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</si>
  <si>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</si>
  <si>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</si>
  <si>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</si>
  <si>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</si>
  <si>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</si>
  <si>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</si>
  <si>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</si>
  <si>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</si>
  <si>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</si>
  <si>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</si>
  <si>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</si>
  <si>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</si>
  <si>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</si>
  <si>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</si>
  <si>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</si>
  <si>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</si>
  <si>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</si>
  <si>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</si>
  <si>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</si>
  <si>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</si>
  <si>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</si>
  <si>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</si>
  <si>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</si>
  <si>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</si>
  <si>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</si>
  <si>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</si>
  <si>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</si>
  <si>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</si>
  <si>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</si>
  <si>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</si>
  <si>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</si>
  <si>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</si>
  <si>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</si>
  <si>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</si>
  <si>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</si>
  <si>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</si>
  <si>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</si>
  <si>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</si>
  <si>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</si>
  <si>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</si>
  <si>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</si>
  <si>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</si>
  <si>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</si>
  <si>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</si>
  <si>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</si>
  <si>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</si>
  <si>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</si>
  <si>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</si>
  <si>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</si>
  <si>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</si>
  <si>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</si>
  <si>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</si>
  <si>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</si>
  <si>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</si>
  <si>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</si>
  <si>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</si>
  <si>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</si>
  <si>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</si>
  <si>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</si>
  <si>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</si>
  <si>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</si>
  <si>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</si>
  <si>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</si>
  <si>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</si>
  <si>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</si>
  <si>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</si>
  <si>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</si>
  <si>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</si>
  <si>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</si>
  <si>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</si>
  <si>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</si>
  <si>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</si>
  <si>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</si>
  <si>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</si>
  <si>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</si>
  <si>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</si>
  <si>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</si>
  <si>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</si>
  <si>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</si>
  <si>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</si>
  <si>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</si>
  <si>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</si>
  <si>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</si>
  <si>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</si>
  <si>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</si>
  <si>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</si>
  <si>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</si>
  <si>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</si>
  <si>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</si>
  <si>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</si>
  <si>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</si>
  <si>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</si>
  <si>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</si>
  <si>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</si>
  <si>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</si>
  <si>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</si>
  <si>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</si>
  <si>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</si>
  <si>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</si>
  <si>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</si>
  <si>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</si>
  <si>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</si>
  <si>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</si>
  <si>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</si>
  <si>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</si>
  <si>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</si>
  <si>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</si>
  <si>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</si>
  <si>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</si>
  <si>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</si>
  <si>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</si>
  <si>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</si>
  <si>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</si>
  <si>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</si>
  <si>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</si>
  <si>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</si>
  <si>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</si>
  <si>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</si>
  <si>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</si>
  <si>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</si>
  <si>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</si>
  <si>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</si>
  <si>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</si>
  <si>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</si>
  <si>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</si>
  <si>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</si>
  <si>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</si>
  <si>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</si>
  <si>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</si>
  <si>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</si>
  <si>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</si>
  <si>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</si>
  <si>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</si>
  <si>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</si>
  <si>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</si>
  <si>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</si>
  <si>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</si>
  <si>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</si>
  <si>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</si>
  <si>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</si>
  <si>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</si>
  <si>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</si>
  <si>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</si>
  <si>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</si>
  <si>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</si>
  <si>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</si>
  <si>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</si>
  <si>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</si>
  <si>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</si>
  <si>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</si>
  <si>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</si>
  <si>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</si>
  <si>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</si>
  <si>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</si>
  <si>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</si>
  <si>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</si>
  <si>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</si>
  <si>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</si>
  <si>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</si>
  <si>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</si>
  <si>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</si>
  <si>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</si>
  <si>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</si>
  <si>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</si>
  <si>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</si>
  <si>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</si>
  <si>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</si>
  <si>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</si>
  <si>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</si>
  <si>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</si>
  <si>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</si>
  <si>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</si>
  <si>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</si>
  <si>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</si>
  <si>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</si>
  <si>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</si>
  <si>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</si>
  <si>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</si>
  <si>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</si>
  <si>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</si>
  <si>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</si>
  <si>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</si>
  <si>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</si>
  <si>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</si>
  <si>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</si>
  <si>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</si>
  <si>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</si>
  <si>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</si>
  <si>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</si>
  <si>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</si>
  <si>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</si>
  <si>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</si>
  <si>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</si>
  <si>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</si>
  <si>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</si>
  <si>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</si>
  <si>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</si>
  <si>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</si>
  <si>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</si>
  <si>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</si>
  <si>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</si>
  <si>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</si>
  <si>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</si>
  <si>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</si>
  <si>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</si>
  <si>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</si>
  <si>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</si>
  <si>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</si>
  <si>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</si>
  <si>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</si>
  <si>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</si>
  <si>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</si>
  <si>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</si>
  <si>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</si>
  <si>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</si>
  <si>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</si>
  <si>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</si>
  <si>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</si>
  <si>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</si>
  <si>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</si>
  <si>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</si>
  <si>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</si>
  <si>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</si>
  <si>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</si>
  <si>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</si>
  <si>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</si>
  <si>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</si>
  <si>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</si>
  <si>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</si>
  <si>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</si>
  <si>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</si>
  <si>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</si>
  <si>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</si>
  <si>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</si>
  <si>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</si>
  <si>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</si>
  <si>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</si>
  <si>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</si>
  <si>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</si>
  <si>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</si>
  <si>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</si>
  <si>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</si>
  <si>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</si>
  <si>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</si>
  <si>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</si>
  <si>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</si>
  <si>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</si>
  <si>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</si>
  <si>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</si>
  <si>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</si>
  <si>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</si>
  <si>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</si>
  <si>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</si>
  <si>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</si>
  <si>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</si>
  <si>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</si>
  <si>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</si>
  <si>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</si>
  <si>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</si>
  <si>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</si>
  <si>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</si>
  <si>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</si>
  <si>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</si>
  <si>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</si>
  <si>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</si>
  <si>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</si>
  <si>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</si>
  <si>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</si>
  <si>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</si>
  <si>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</si>
  <si>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</si>
  <si>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</si>
  <si>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</si>
  <si>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</si>
  <si>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</si>
  <si>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</si>
  <si>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</si>
  <si>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</si>
  <si>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</si>
  <si>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</si>
  <si>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</si>
  <si>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</si>
  <si>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</si>
  <si>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</si>
  <si>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</si>
  <si>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</si>
  <si>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</si>
  <si>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</si>
  <si>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</si>
  <si>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</si>
  <si>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</si>
  <si>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</si>
  <si>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</si>
  <si>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</si>
  <si>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</si>
  <si>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</si>
  <si>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</si>
  <si>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</si>
  <si>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</si>
  <si>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</si>
  <si>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</si>
  <si>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</si>
  <si>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</si>
  <si>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</si>
  <si>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</si>
  <si>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</si>
  <si>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</si>
  <si>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</si>
  <si>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</si>
  <si>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</si>
  <si>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</si>
  <si>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</si>
  <si>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</si>
  <si>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</si>
  <si>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</si>
  <si>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</si>
  <si>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</si>
  <si>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</si>
  <si>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</si>
  <si>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</si>
  <si>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</si>
  <si>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</si>
  <si>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</si>
  <si>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</si>
  <si>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</si>
  <si>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</si>
  <si>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</si>
  <si>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</si>
  <si>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</si>
  <si>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</si>
  <si>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</si>
  <si>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</si>
  <si>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</si>
  <si>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</si>
  <si>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</si>
  <si>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</si>
  <si>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</si>
  <si>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</si>
  <si>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</si>
  <si>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</si>
  <si>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</si>
  <si>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</si>
  <si>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</si>
  <si>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</si>
  <si>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</si>
  <si>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</si>
  <si>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</si>
  <si>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</si>
  <si>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</si>
  <si>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</si>
  <si>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</si>
  <si>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</si>
  <si>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</si>
  <si>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</si>
  <si>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</si>
  <si>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</si>
  <si>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</si>
  <si>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</si>
  <si>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</si>
  <si>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</si>
  <si>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</si>
  <si>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</si>
  <si>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</si>
  <si>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</si>
  <si>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</si>
  <si>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</si>
  <si>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</si>
  <si>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</si>
  <si>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</si>
  <si>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</si>
  <si>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</si>
  <si>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</si>
  <si>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</si>
  <si>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</si>
  <si>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</si>
  <si>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</si>
  <si>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</si>
  <si>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</si>
  <si>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</si>
  <si>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</si>
  <si>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</si>
  <si>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</si>
  <si>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</si>
  <si>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</si>
  <si>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</si>
  <si>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</si>
  <si>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</si>
  <si>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</si>
  <si>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</si>
  <si>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</si>
  <si>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</si>
  <si>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</si>
  <si>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</si>
  <si>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</si>
  <si>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</si>
  <si>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</si>
  <si>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</si>
  <si>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</si>
  <si>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</si>
  <si>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</si>
  <si>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</si>
  <si>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</si>
  <si>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</si>
  <si>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</si>
  <si>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</si>
  <si>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</si>
  <si>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</si>
  <si>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</si>
  <si>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</si>
  <si>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</si>
  <si>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</si>
  <si>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</si>
  <si>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</si>
  <si>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</si>
  <si>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</si>
  <si>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</si>
  <si>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</si>
  <si>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</si>
  <si>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</si>
  <si>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</si>
  <si>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</si>
  <si>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</si>
  <si>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</si>
  <si>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</si>
  <si>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</si>
  <si>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</si>
  <si>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</si>
  <si>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</si>
  <si>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</si>
  <si>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</si>
  <si>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</si>
  <si>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</si>
  <si>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</si>
  <si>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</si>
  <si>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</si>
  <si>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</si>
  <si>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</si>
  <si>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Appalachian Power Company</t>
  </si>
  <si>
    <t xml:space="preserve">   Acct 255</t>
  </si>
  <si>
    <t>Other Tangible Property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</si>
  <si>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</si>
  <si>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</si>
  <si>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</si>
  <si>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</si>
  <si>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</si>
  <si>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</si>
  <si>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</si>
  <si>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</si>
  <si>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</si>
  <si>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</si>
  <si>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</si>
  <si>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</si>
  <si>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</si>
  <si>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</si>
  <si>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</si>
  <si>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</si>
  <si>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</si>
  <si>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</si>
  <si>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</si>
  <si>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</si>
  <si>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</si>
  <si>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</si>
  <si>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</si>
  <si>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</si>
  <si>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</si>
  <si>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</si>
  <si>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</si>
  <si>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</si>
  <si>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</si>
  <si>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</si>
  <si>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</si>
  <si>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</si>
  <si>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</si>
  <si>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</si>
  <si>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</si>
  <si>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</si>
  <si>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</si>
  <si>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</si>
  <si>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</si>
  <si>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</si>
  <si>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</si>
  <si>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</si>
  <si>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</si>
  <si>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</si>
  <si>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</si>
  <si>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</si>
  <si>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</si>
  <si>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</si>
  <si>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</si>
  <si>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</si>
  <si>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</si>
  <si>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</si>
  <si>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</si>
  <si>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</si>
  <si>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</si>
  <si>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</si>
  <si>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</si>
  <si>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</si>
  <si>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</si>
  <si>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</si>
  <si>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</si>
  <si>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</si>
  <si>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</si>
  <si>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</si>
  <si>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</si>
  <si>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</si>
  <si>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</si>
  <si>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</si>
  <si>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</si>
  <si>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</si>
  <si>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</si>
  <si>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</si>
  <si>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</si>
  <si>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</si>
  <si>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</si>
  <si>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</si>
  <si>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</si>
  <si>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</si>
  <si>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</si>
  <si>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</si>
  <si>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</si>
  <si>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</si>
  <si>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</si>
  <si>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</si>
  <si>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</si>
  <si>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</si>
  <si>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</si>
  <si>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</si>
  <si>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</si>
  <si>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</si>
  <si>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</si>
  <si>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</si>
  <si>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</si>
  <si>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</si>
  <si>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</si>
  <si>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</si>
  <si>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</si>
  <si>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</si>
  <si>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</si>
  <si>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</si>
  <si>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</si>
  <si>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</si>
  <si>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</si>
  <si>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</si>
  <si>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</si>
  <si>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</si>
  <si>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</si>
  <si>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</si>
  <si>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</si>
  <si>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</si>
  <si>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</si>
  <si>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</si>
  <si>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</si>
  <si>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</si>
  <si>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</si>
  <si>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</si>
  <si>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</si>
  <si>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</si>
  <si>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</si>
  <si>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</si>
  <si>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</si>
  <si>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</si>
  <si>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</si>
  <si>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</si>
  <si>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</si>
  <si>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</si>
  <si>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</si>
  <si>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</si>
  <si>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</si>
  <si>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</si>
  <si>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</si>
  <si>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</si>
  <si>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</si>
  <si>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</si>
  <si>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</si>
  <si>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</si>
  <si>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</si>
  <si>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</si>
  <si>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</si>
  <si>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</si>
  <si>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</si>
  <si>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</si>
  <si>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</si>
  <si>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</si>
  <si>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</si>
  <si>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</si>
  <si>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</si>
  <si>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</si>
  <si>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</si>
  <si>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</si>
  <si>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</si>
  <si>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</si>
  <si>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</si>
  <si>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</si>
  <si>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</si>
  <si>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</si>
  <si>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</si>
  <si>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</si>
  <si>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</si>
  <si>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</si>
  <si>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</si>
  <si>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</si>
  <si>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</si>
  <si>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</si>
  <si>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</si>
  <si>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</si>
  <si>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</si>
  <si>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</si>
  <si>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</si>
  <si>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</si>
  <si>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</si>
  <si>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</si>
  <si>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</si>
  <si>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</si>
  <si>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</si>
  <si>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</si>
  <si>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</si>
  <si>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</si>
  <si>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</si>
  <si>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</si>
  <si>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</si>
  <si>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</si>
  <si>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</si>
  <si>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</si>
  <si>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</si>
  <si>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</si>
  <si>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</si>
  <si>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</si>
  <si>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</si>
  <si>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</si>
  <si>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</si>
  <si>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</si>
  <si>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</si>
  <si>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</si>
  <si>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</si>
  <si>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</si>
  <si>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</si>
  <si>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</si>
  <si>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</si>
  <si>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</si>
  <si>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</si>
  <si>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</si>
  <si>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</si>
  <si>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</si>
  <si>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</si>
  <si>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</si>
  <si>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</si>
  <si>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</si>
  <si>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</si>
  <si>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</si>
  <si>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</si>
  <si>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</si>
  <si>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</si>
  <si>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</si>
  <si>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</si>
  <si>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</si>
  <si>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</si>
  <si>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</si>
  <si>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</si>
  <si>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</si>
  <si>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</si>
  <si>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</si>
  <si>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</si>
  <si>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</si>
  <si>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</si>
  <si>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</si>
  <si>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</si>
  <si>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</si>
  <si>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</si>
  <si>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</si>
  <si>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</si>
  <si>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</si>
  <si>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</si>
  <si>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</si>
  <si>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</si>
  <si>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</si>
  <si>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</si>
  <si>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</si>
  <si>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</si>
  <si>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</si>
  <si>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</si>
  <si>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</si>
  <si>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</si>
  <si>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</si>
  <si>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</si>
  <si>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</si>
  <si>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</si>
  <si>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</si>
  <si>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</si>
  <si>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</si>
  <si>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</si>
  <si>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</si>
  <si>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</si>
  <si>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</si>
  <si>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</si>
  <si>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</si>
  <si>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</si>
  <si>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</si>
  <si>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</si>
  <si>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</si>
  <si>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</si>
  <si>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</si>
  <si>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</si>
  <si>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</si>
  <si>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</si>
  <si>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</si>
  <si>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</si>
  <si>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</si>
  <si>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</si>
  <si>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</si>
  <si>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</si>
  <si>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</si>
  <si>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</si>
  <si>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</si>
  <si>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</si>
  <si>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</si>
  <si>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</si>
  <si>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</si>
  <si>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</si>
  <si>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</si>
  <si>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</si>
  <si>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</si>
  <si>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</si>
  <si>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</si>
  <si>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D168</t>
  </si>
  <si>
    <t>D173</t>
  </si>
  <si>
    <t>D175</t>
  </si>
  <si>
    <t>D176</t>
  </si>
  <si>
    <t>D165</t>
  </si>
  <si>
    <t>D167</t>
  </si>
  <si>
    <t>D174</t>
  </si>
  <si>
    <t>D179</t>
  </si>
  <si>
    <t>M11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</si>
  <si>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</si>
  <si>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</si>
  <si>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</si>
  <si>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</si>
  <si>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</si>
  <si>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</si>
  <si>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</si>
  <si>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</si>
  <si>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</si>
  <si>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</si>
  <si>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</si>
  <si>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</si>
  <si>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</si>
  <si>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</si>
  <si>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</si>
  <si>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</si>
  <si>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</si>
  <si>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</si>
  <si>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</si>
  <si>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</si>
  <si>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</si>
  <si>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</si>
  <si>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</si>
  <si>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</si>
  <si>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</si>
  <si>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</si>
  <si>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</si>
  <si>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</si>
  <si>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</si>
  <si>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</si>
  <si>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</si>
  <si>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</si>
  <si>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F51</t>
  </si>
  <si>
    <t>D53</t>
  </si>
  <si>
    <t>L12</t>
  </si>
  <si>
    <t>L11</t>
  </si>
  <si>
    <t>L10</t>
  </si>
  <si>
    <t>E46</t>
  </si>
  <si>
    <t>F129</t>
  </si>
  <si>
    <t>F21</t>
  </si>
  <si>
    <t>F91</t>
  </si>
  <si>
    <t>F88</t>
  </si>
  <si>
    <t>F132</t>
  </si>
  <si>
    <t>F131</t>
  </si>
  <si>
    <t>F128</t>
  </si>
  <si>
    <t>F92</t>
  </si>
  <si>
    <t>F89</t>
  </si>
  <si>
    <t>F230</t>
  </si>
  <si>
    <t>F227</t>
  </si>
  <si>
    <t>F229</t>
  </si>
  <si>
    <t>F226</t>
  </si>
  <si>
    <t>G244+H244</t>
  </si>
  <si>
    <t>F244</t>
  </si>
  <si>
    <t>COMPLETED - JPB</t>
  </si>
  <si>
    <t>Senior Unsecured Notes - Series AA</t>
  </si>
  <si>
    <t>12 Months Ending 12/31/2010 (actuals)</t>
  </si>
  <si>
    <t>D169</t>
  </si>
  <si>
    <t>sum(D177:D179)</t>
  </si>
  <si>
    <t>D177</t>
  </si>
  <si>
    <t>D180</t>
  </si>
  <si>
    <t>D184</t>
  </si>
  <si>
    <t>D57</t>
  </si>
  <si>
    <t>D56+D74+D78+D101</t>
  </si>
  <si>
    <t>12 Months Ending 12/31/2022 (actuals)</t>
  </si>
  <si>
    <t>12 Months Ending 12/31/2023 (actuals) for 2024</t>
  </si>
  <si>
    <t>** FERC References are based on the 2023 FERC Form 1 **</t>
  </si>
  <si>
    <t>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</si>
</sst>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4" fillId="8" borderId="0" xfId="0" applyFont="1" applyFill="1" applyAlignment="1" applyProtection="1">
      <alignment horizontal="center"/>
    </xf>
    <xf numFmtId="183" fontId="31" fillId="3" borderId="0" xfId="2" applyNumberFormat="1" applyFont="1" applyFill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 xr:uid="{00000000-0005-0000-0000-000001000000}"/>
    <cellStyle name="Currency 2" xfId="8" xr:uid="{00000000-0005-0000-0000-000002000000}"/>
    <cellStyle name="Normal" xfId="0" builtinId="0"/>
    <cellStyle name="Normal 2" xfId="9" xr:uid="{00000000-0005-0000-0000-000004000000}"/>
    <cellStyle name="Normal 3" xfId="10" xr:uid="{00000000-0005-0000-0000-000005000000}"/>
    <cellStyle name="Normal 36" xfId="11" xr:uid="{00000000-0005-0000-0000-000006000000}"/>
    <cellStyle name="Normal 4" xfId="12" xr:uid="{00000000-0005-0000-0000-000007000000}"/>
    <cellStyle name="Normal 5" xfId="7" xr:uid="{00000000-0005-0000-0000-000008000000}"/>
    <cellStyle name="Normal_ADITAnalysisID090805" xfId="2" xr:uid="{00000000-0005-0000-0000-000009000000}"/>
    <cellStyle name="Normal_EFFTAXRT" xfId="3" xr:uid="{00000000-0005-0000-0000-00000A000000}"/>
    <cellStyle name="Normal_FN1 Ratebase Draft SPP template (6-11-04) v2" xfId="4" xr:uid="{00000000-0005-0000-0000-00000B000000}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4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1175</v>
      </c>
    </row>
    <row r="2" spans="1:12">
      <c r="B2" s="140" t="s">
        <v>1174</v>
      </c>
      <c r="D2" s="44"/>
      <c r="E2" s="148"/>
      <c r="F2" s="44"/>
    </row>
    <row r="3" spans="1:12">
      <c r="B3" s="199"/>
      <c r="C3" s="185" t="s">
        <v>814</v>
      </c>
      <c r="E3" s="330" t="s">
        <v>455</v>
      </c>
      <c r="F3" s="331"/>
      <c r="H3" s="230" t="s">
        <v>1163</v>
      </c>
      <c r="I3" s="230"/>
      <c r="J3" s="230"/>
      <c r="K3" s="230"/>
      <c r="L3" s="230"/>
    </row>
    <row r="4" spans="1:12" ht="12.75">
      <c r="C4" s="5" t="s">
        <v>204</v>
      </c>
      <c r="E4" s="328" t="s">
        <v>272</v>
      </c>
      <c r="F4" s="329"/>
      <c r="H4" s="230" t="s">
        <v>1126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19">
        <v>4663.7</v>
      </c>
      <c r="D8" s="1"/>
      <c r="E8" s="19" t="s">
        <v>433</v>
      </c>
      <c r="F8" s="25" t="s">
        <v>1138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6432482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1117</v>
      </c>
      <c r="H11" s="71"/>
    </row>
    <row r="12" spans="1:12">
      <c r="A12" s="2" t="s">
        <v>462</v>
      </c>
      <c r="B12" s="9" t="s">
        <v>782</v>
      </c>
      <c r="C12" s="10">
        <v>4929957.2624999993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401556.66000000003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401556.66000000003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837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7622768.898</v>
      </c>
      <c r="D18" s="1"/>
      <c r="E18" s="25" t="s">
        <v>663</v>
      </c>
      <c r="F18" s="19" t="s">
        <v>1124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1125</v>
      </c>
      <c r="H19" s="71"/>
    </row>
    <row r="20" spans="1:9">
      <c r="A20" s="2" t="s">
        <v>464</v>
      </c>
      <c r="B20" s="2" t="s">
        <v>295</v>
      </c>
      <c r="C20" s="149">
        <v>17670477629</v>
      </c>
      <c r="D20" s="1"/>
      <c r="E20" s="25" t="s">
        <v>441</v>
      </c>
      <c r="F20" s="19" t="s">
        <v>943</v>
      </c>
      <c r="H20" s="71"/>
      <c r="I20" s="77"/>
    </row>
    <row r="21" spans="1:9">
      <c r="A21" s="12"/>
      <c r="B21" s="2" t="s">
        <v>296</v>
      </c>
      <c r="C21" s="11">
        <v>6852308785</v>
      </c>
      <c r="D21" s="1"/>
      <c r="E21" s="25" t="s">
        <v>441</v>
      </c>
      <c r="F21" s="19" t="s">
        <v>944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6852308785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6389939212.0400009</v>
      </c>
      <c r="D24" s="1"/>
      <c r="E24" s="25" t="s">
        <v>487</v>
      </c>
      <c r="F24" s="19" t="s">
        <v>1135</v>
      </c>
      <c r="H24" s="71"/>
      <c r="I24" s="77"/>
    </row>
    <row r="25" spans="1:9">
      <c r="A25" s="12"/>
      <c r="B25" s="2" t="s">
        <v>300</v>
      </c>
      <c r="C25" s="11">
        <v>3383930632.1599998</v>
      </c>
      <c r="D25" s="1"/>
      <c r="E25" s="25" t="s">
        <v>487</v>
      </c>
      <c r="F25" s="19" t="s">
        <v>1136</v>
      </c>
      <c r="H25" s="71"/>
      <c r="I25" s="77"/>
    </row>
    <row r="26" spans="1:9">
      <c r="A26" s="12"/>
      <c r="B26" s="2" t="s">
        <v>529</v>
      </c>
      <c r="C26" s="11">
        <v>288172602.24000001</v>
      </c>
      <c r="D26" s="1"/>
      <c r="E26" s="25" t="s">
        <v>487</v>
      </c>
      <c r="F26" s="19" t="s">
        <v>1137</v>
      </c>
      <c r="H26" s="71"/>
      <c r="I26" s="77"/>
    </row>
    <row r="27" spans="1:9">
      <c r="A27" s="12"/>
      <c r="B27" s="2" t="s">
        <v>301</v>
      </c>
      <c r="C27" s="13">
        <f>-SUM(C29:C32) +SUM(C33:C52)</f>
        <v>2358301415.5999985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50187641.110000014</v>
      </c>
      <c r="D29" s="1"/>
      <c r="E29" s="19" t="s">
        <v>698</v>
      </c>
      <c r="F29" s="19" t="s">
        <v>1152</v>
      </c>
      <c r="H29" s="71"/>
      <c r="I29" s="77"/>
    </row>
    <row r="30" spans="1:9">
      <c r="A30" s="12"/>
      <c r="B30" s="4" t="s">
        <v>685</v>
      </c>
      <c r="C30" s="320">
        <v>-4363007.8</v>
      </c>
      <c r="D30" s="1"/>
      <c r="E30" s="19" t="s">
        <v>698</v>
      </c>
      <c r="F30" s="19" t="s">
        <v>1148</v>
      </c>
      <c r="H30" s="71"/>
      <c r="I30" s="77"/>
    </row>
    <row r="31" spans="1:9">
      <c r="A31" s="12"/>
      <c r="B31" s="4" t="s">
        <v>703</v>
      </c>
      <c r="C31" s="320">
        <v>97201928.99000001</v>
      </c>
      <c r="D31" s="1"/>
      <c r="E31" s="19" t="s">
        <v>698</v>
      </c>
      <c r="F31" s="19" t="s">
        <v>1153</v>
      </c>
      <c r="H31" s="71"/>
      <c r="I31" s="77"/>
    </row>
    <row r="32" spans="1:9">
      <c r="A32" s="12"/>
      <c r="B32" s="4" t="s">
        <v>686</v>
      </c>
      <c r="C32" s="320">
        <v>0</v>
      </c>
      <c r="D32" s="1"/>
      <c r="E32" s="19" t="s">
        <v>698</v>
      </c>
      <c r="F32" s="19" t="s">
        <v>1154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206273193.34999999</v>
      </c>
      <c r="D36" s="1"/>
      <c r="E36" s="19" t="s">
        <v>680</v>
      </c>
      <c r="F36" s="19" t="s">
        <v>1149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6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1387584346.6399999</v>
      </c>
      <c r="D39" s="1"/>
      <c r="E39" s="19" t="s">
        <v>680</v>
      </c>
      <c r="F39" s="19" t="s">
        <v>1155</v>
      </c>
      <c r="H39" s="71"/>
      <c r="I39" s="77"/>
    </row>
    <row r="40" spans="1:9">
      <c r="A40" s="12"/>
      <c r="B40" s="4" t="s">
        <v>685</v>
      </c>
      <c r="C40" s="320">
        <v>-2098.0199999999895</v>
      </c>
      <c r="D40" s="1"/>
      <c r="E40" s="19" t="s">
        <v>680</v>
      </c>
      <c r="F40" s="19" t="s">
        <v>1156</v>
      </c>
      <c r="H40" s="71"/>
      <c r="I40" s="77"/>
    </row>
    <row r="41" spans="1:9">
      <c r="A41" s="12"/>
      <c r="B41" s="4" t="s">
        <v>703</v>
      </c>
      <c r="C41" s="320">
        <v>617044518.58999991</v>
      </c>
      <c r="D41" s="1"/>
      <c r="E41" s="19" t="s">
        <v>680</v>
      </c>
      <c r="F41" s="19" t="s">
        <v>1150</v>
      </c>
      <c r="H41" s="71"/>
      <c r="I41" s="77"/>
    </row>
    <row r="42" spans="1:9">
      <c r="A42" s="12"/>
      <c r="B42" s="4" t="s">
        <v>686</v>
      </c>
      <c r="C42" s="320">
        <v>-39563.67</v>
      </c>
      <c r="D42" s="1"/>
      <c r="E42" s="19" t="s">
        <v>680</v>
      </c>
      <c r="F42" s="19" t="s">
        <v>1151</v>
      </c>
      <c r="H42" s="71"/>
      <c r="I42" s="77"/>
    </row>
    <row r="43" spans="1:9">
      <c r="A43" s="12"/>
      <c r="B43" s="4" t="s">
        <v>683</v>
      </c>
      <c r="C43" s="326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92235610.489999995</v>
      </c>
      <c r="D44" s="1"/>
      <c r="E44" s="19" t="s">
        <v>680</v>
      </c>
      <c r="F44" s="19" t="s">
        <v>1157</v>
      </c>
      <c r="H44" s="71"/>
      <c r="I44" s="77"/>
    </row>
    <row r="45" spans="1:9">
      <c r="A45" s="12"/>
      <c r="B45" s="4" t="s">
        <v>685</v>
      </c>
      <c r="C45" s="320">
        <v>1081257.3699999999</v>
      </c>
      <c r="D45" s="1"/>
      <c r="E45" s="19" t="s">
        <v>680</v>
      </c>
      <c r="F45" s="19" t="s">
        <v>1158</v>
      </c>
      <c r="H45" s="71"/>
      <c r="I45" s="77"/>
    </row>
    <row r="46" spans="1:9">
      <c r="A46" s="12"/>
      <c r="B46" s="4" t="s">
        <v>703</v>
      </c>
      <c r="C46" s="320">
        <v>18596139.720000003</v>
      </c>
      <c r="D46" s="1"/>
      <c r="E46" s="19" t="s">
        <v>680</v>
      </c>
      <c r="F46" s="19" t="s">
        <v>1159</v>
      </c>
      <c r="H46" s="71"/>
      <c r="I46" s="77"/>
    </row>
    <row r="47" spans="1:9">
      <c r="A47" s="12"/>
      <c r="B47" s="4" t="s">
        <v>686</v>
      </c>
      <c r="C47" s="320">
        <v>178553049.42999995</v>
      </c>
      <c r="D47" s="1"/>
      <c r="E47" s="19" t="s">
        <v>680</v>
      </c>
      <c r="F47" s="19" t="s">
        <v>1160</v>
      </c>
      <c r="H47" s="71"/>
      <c r="I47" s="77"/>
    </row>
    <row r="48" spans="1:9">
      <c r="A48" s="12"/>
      <c r="B48" s="4" t="s">
        <v>815</v>
      </c>
      <c r="C48" s="326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1524</v>
      </c>
      <c r="D49" s="1"/>
      <c r="E49" s="19" t="s">
        <v>680</v>
      </c>
      <c r="F49" s="19" t="s">
        <v>1161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0</v>
      </c>
      <c r="D51" s="1"/>
      <c r="E51" s="19" t="s">
        <v>680</v>
      </c>
      <c r="F51" s="19" t="s">
        <v>1162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1120</v>
      </c>
      <c r="C54" s="11">
        <v>18016139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1121</v>
      </c>
      <c r="C56" s="11">
        <v>296389474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1122</v>
      </c>
      <c r="C58" s="11">
        <v>16840799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1123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3680857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52307268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2334352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224961436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831</v>
      </c>
      <c r="C65" s="11">
        <v>11674267</v>
      </c>
      <c r="D65" s="1"/>
      <c r="E65" s="25" t="s">
        <v>442</v>
      </c>
      <c r="F65" s="19" t="s">
        <v>1073</v>
      </c>
      <c r="H65" s="71"/>
    </row>
    <row r="66" spans="1:9">
      <c r="A66" s="12"/>
      <c r="B66" s="2" t="s">
        <v>816</v>
      </c>
      <c r="C66" s="11">
        <v>43287</v>
      </c>
      <c r="D66" s="1"/>
      <c r="E66" s="25" t="s">
        <v>442</v>
      </c>
      <c r="F66" s="19" t="s">
        <v>1074</v>
      </c>
      <c r="H66" s="71"/>
    </row>
    <row r="67" spans="1:9">
      <c r="A67" s="12"/>
      <c r="B67" s="2" t="s">
        <v>689</v>
      </c>
      <c r="C67" s="11">
        <v>1386653</v>
      </c>
      <c r="D67" s="1"/>
      <c r="E67" s="25" t="s">
        <v>442</v>
      </c>
      <c r="F67" s="25" t="s">
        <v>1118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627643206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306526882</v>
      </c>
      <c r="D71" s="321"/>
      <c r="E71" s="322" t="s">
        <v>441</v>
      </c>
      <c r="F71" s="323" t="s">
        <v>945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154100699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3403304</v>
      </c>
      <c r="D74" s="1"/>
      <c r="E74" s="25" t="s">
        <v>447</v>
      </c>
      <c r="F74" s="19" t="s">
        <v>1142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</v>
      </c>
      <c r="D78" s="1"/>
      <c r="E78" s="25" t="s">
        <v>447</v>
      </c>
      <c r="F78" s="19" t="s">
        <v>1143</v>
      </c>
      <c r="H78" s="71"/>
    </row>
    <row r="79" spans="1:9">
      <c r="A79" s="12"/>
      <c r="B79" s="2" t="s">
        <v>310</v>
      </c>
      <c r="C79" s="31">
        <f>1-C78</f>
        <v>1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303375125.55699998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148114642.10399997</v>
      </c>
      <c r="E82" s="25"/>
      <c r="F82" s="19"/>
      <c r="H82" s="71"/>
    </row>
    <row r="83" spans="1:8">
      <c r="A83" s="12"/>
      <c r="B83" s="2" t="s">
        <v>312</v>
      </c>
      <c r="C83" s="11">
        <v>84001332.030999988</v>
      </c>
      <c r="D83" s="1"/>
      <c r="E83" s="25" t="s">
        <v>440</v>
      </c>
      <c r="F83" s="19" t="s">
        <v>1146</v>
      </c>
      <c r="H83" s="71"/>
    </row>
    <row r="84" spans="1:8">
      <c r="A84" s="12"/>
      <c r="B84" s="2" t="s">
        <v>313</v>
      </c>
      <c r="C84" s="11">
        <v>15567142.813000001</v>
      </c>
      <c r="D84" s="1"/>
      <c r="E84" s="25" t="s">
        <v>440</v>
      </c>
      <c r="F84" s="19" t="s">
        <v>1145</v>
      </c>
      <c r="H84" s="71"/>
    </row>
    <row r="85" spans="1:8">
      <c r="A85" s="12"/>
      <c r="B85" s="2" t="s">
        <v>314</v>
      </c>
      <c r="C85" s="11">
        <v>48546167.259999998</v>
      </c>
      <c r="D85" s="1"/>
      <c r="E85" s="25" t="s">
        <v>440</v>
      </c>
      <c r="F85" s="19" t="s">
        <v>1144</v>
      </c>
      <c r="H85" s="71"/>
    </row>
    <row r="86" spans="1:8">
      <c r="A86" s="12"/>
      <c r="B86" s="2" t="s">
        <v>767</v>
      </c>
      <c r="C86" s="11">
        <v>10115774.119999999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11642309.640000001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45628882</v>
      </c>
      <c r="D92" s="1"/>
      <c r="E92" s="25" t="s">
        <v>448</v>
      </c>
      <c r="F92" s="25" t="s">
        <v>1119</v>
      </c>
      <c r="H92" s="71"/>
    </row>
    <row r="93" spans="1:8">
      <c r="A93" s="12"/>
      <c r="B93" s="2" t="s">
        <v>317</v>
      </c>
      <c r="C93" s="11">
        <v>5161457</v>
      </c>
      <c r="D93" s="1"/>
      <c r="E93" s="25" t="s">
        <v>448</v>
      </c>
      <c r="F93" s="25" t="s">
        <v>1106</v>
      </c>
      <c r="H93" s="71"/>
    </row>
    <row r="94" spans="1:8">
      <c r="A94" s="12"/>
      <c r="B94" s="2" t="s">
        <v>318</v>
      </c>
      <c r="C94" s="11">
        <v>-19674333.27</v>
      </c>
      <c r="D94" s="1"/>
      <c r="E94" s="25" t="s">
        <v>448</v>
      </c>
      <c r="F94" s="25" t="s">
        <v>1102</v>
      </c>
      <c r="H94" s="71"/>
    </row>
    <row r="95" spans="1:8">
      <c r="A95" s="12"/>
      <c r="B95" s="2" t="s">
        <v>319</v>
      </c>
      <c r="C95" s="11">
        <v>2801436</v>
      </c>
      <c r="D95" s="1"/>
      <c r="E95" s="25" t="s">
        <v>448</v>
      </c>
      <c r="F95" s="25" t="s">
        <v>1105</v>
      </c>
      <c r="H95" s="71"/>
    </row>
    <row r="96" spans="1:8">
      <c r="A96" s="12"/>
      <c r="B96" s="2" t="s">
        <v>320</v>
      </c>
      <c r="C96" s="11">
        <v>-3507486</v>
      </c>
      <c r="D96" s="1"/>
      <c r="E96" s="25" t="s">
        <v>448</v>
      </c>
      <c r="F96" s="25" t="s">
        <v>1166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1107</v>
      </c>
      <c r="H97" s="71"/>
    </row>
    <row r="98" spans="1:8">
      <c r="A98" s="12"/>
      <c r="B98" s="2" t="s">
        <v>323</v>
      </c>
      <c r="C98" s="11">
        <v>266616</v>
      </c>
      <c r="D98" s="1"/>
      <c r="E98" s="25" t="s">
        <v>448</v>
      </c>
      <c r="F98" s="25" t="s">
        <v>1104</v>
      </c>
      <c r="H98" s="71"/>
    </row>
    <row r="99" spans="1:8">
      <c r="A99" s="12"/>
      <c r="B99" s="2" t="s">
        <v>420</v>
      </c>
      <c r="C99" s="11">
        <v>11302773</v>
      </c>
      <c r="D99" s="1"/>
      <c r="E99" s="25" t="s">
        <v>448</v>
      </c>
      <c r="F99" s="25" t="s">
        <v>1167</v>
      </c>
      <c r="H99" s="71"/>
    </row>
    <row r="100" spans="1:8">
      <c r="A100" s="12"/>
      <c r="B100" s="2" t="s">
        <v>418</v>
      </c>
      <c r="C100" s="11">
        <v>535267</v>
      </c>
      <c r="D100" s="1"/>
      <c r="E100" s="25" t="s">
        <v>448</v>
      </c>
      <c r="F100" s="25" t="s">
        <v>1168</v>
      </c>
      <c r="H100" s="71"/>
    </row>
    <row r="101" spans="1:8">
      <c r="A101" s="12"/>
      <c r="B101" s="2" t="s">
        <v>419</v>
      </c>
      <c r="C101" s="11">
        <v>0</v>
      </c>
      <c r="D101" s="1"/>
      <c r="E101" s="25" t="s">
        <v>448</v>
      </c>
      <c r="F101" s="25" t="s">
        <v>1108</v>
      </c>
      <c r="H101" s="71"/>
    </row>
    <row r="102" spans="1:8">
      <c r="A102" s="12"/>
      <c r="B102" s="2" t="s">
        <v>324</v>
      </c>
      <c r="C102" s="11">
        <v>7909135</v>
      </c>
      <c r="D102" s="1"/>
      <c r="E102" s="25" t="s">
        <v>448</v>
      </c>
      <c r="F102" s="25" t="s">
        <v>864</v>
      </c>
      <c r="H102" s="71"/>
    </row>
    <row r="103" spans="1:8">
      <c r="A103" s="12"/>
      <c r="B103" s="2" t="s">
        <v>325</v>
      </c>
      <c r="C103" s="11">
        <v>5100106</v>
      </c>
      <c r="D103" s="1"/>
      <c r="E103" s="25" t="s">
        <v>448</v>
      </c>
      <c r="F103" s="25" t="s">
        <v>1101</v>
      </c>
      <c r="H103" s="71"/>
    </row>
    <row r="104" spans="1:8">
      <c r="A104" s="12"/>
      <c r="B104" s="2" t="s">
        <v>326</v>
      </c>
      <c r="C104" s="11">
        <v>9914640</v>
      </c>
      <c r="D104" s="1"/>
      <c r="E104" s="25" t="s">
        <v>448</v>
      </c>
      <c r="F104" s="25" t="s">
        <v>1103</v>
      </c>
      <c r="H104" s="71"/>
    </row>
    <row r="105" spans="1:8">
      <c r="A105" s="12"/>
      <c r="B105" s="2" t="s">
        <v>327</v>
      </c>
      <c r="C105" s="11">
        <v>2239669</v>
      </c>
      <c r="D105" s="227"/>
      <c r="E105" s="25" t="s">
        <v>754</v>
      </c>
      <c r="F105" s="228" t="s">
        <v>1147</v>
      </c>
      <c r="H105" s="71"/>
    </row>
    <row r="106" spans="1:8">
      <c r="A106" s="12"/>
      <c r="B106" s="2" t="s">
        <v>328</v>
      </c>
      <c r="C106" s="11">
        <v>1051347</v>
      </c>
      <c r="D106" s="227"/>
      <c r="E106" s="25" t="s">
        <v>448</v>
      </c>
      <c r="F106" s="25" t="s">
        <v>1169</v>
      </c>
      <c r="H106" s="71"/>
    </row>
    <row r="107" spans="1:8">
      <c r="A107" s="12"/>
      <c r="B107" s="2" t="s">
        <v>329</v>
      </c>
      <c r="C107" s="11">
        <v>12061842</v>
      </c>
      <c r="D107" s="1"/>
      <c r="E107" s="25" t="s">
        <v>448</v>
      </c>
      <c r="F107" s="25" t="s">
        <v>1170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5284111780.7979994</v>
      </c>
      <c r="D109" s="2"/>
      <c r="E109" s="25" t="s">
        <v>490</v>
      </c>
      <c r="F109" s="25" t="s">
        <v>1109</v>
      </c>
      <c r="H109" s="71"/>
    </row>
    <row r="110" spans="1:8">
      <c r="A110" s="2"/>
      <c r="B110" s="2" t="s">
        <v>620</v>
      </c>
      <c r="C110" s="11">
        <v>147717358</v>
      </c>
      <c r="D110" s="2"/>
      <c r="E110" s="25" t="s">
        <v>567</v>
      </c>
      <c r="F110" s="19" t="s">
        <v>826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827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5482701032</v>
      </c>
      <c r="D113" s="2"/>
      <c r="E113" s="25" t="s">
        <v>567</v>
      </c>
      <c r="F113" s="19" t="s">
        <v>828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5630418390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254550701.58999997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829</v>
      </c>
      <c r="C118" s="11">
        <v>4353854.25</v>
      </c>
      <c r="D118" s="1"/>
      <c r="E118" s="25" t="s">
        <v>567</v>
      </c>
      <c r="F118" s="19" t="s">
        <v>1112</v>
      </c>
      <c r="H118" s="71"/>
    </row>
    <row r="119" spans="1:8" ht="12.75">
      <c r="A119" s="12"/>
      <c r="B119" s="197" t="s">
        <v>830</v>
      </c>
      <c r="C119" s="11">
        <v>3714559.8000000003</v>
      </c>
      <c r="D119" s="1"/>
      <c r="E119" s="25" t="s">
        <v>567</v>
      </c>
      <c r="F119" s="19" t="s">
        <v>1113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1115</v>
      </c>
      <c r="H120" s="71"/>
    </row>
    <row r="121" spans="1:8">
      <c r="A121" s="12"/>
      <c r="B121" s="2" t="s">
        <v>1114</v>
      </c>
      <c r="C121" s="11">
        <v>0</v>
      </c>
      <c r="D121" s="1"/>
      <c r="E121" s="25" t="s">
        <v>567</v>
      </c>
      <c r="F121" s="228" t="s">
        <v>1116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1060</v>
      </c>
      <c r="H128" s="71"/>
    </row>
    <row r="129" spans="1:9">
      <c r="A129" s="12"/>
      <c r="B129" s="3" t="s">
        <v>613</v>
      </c>
      <c r="C129" s="11">
        <v>-3463212.63</v>
      </c>
      <c r="D129" s="1"/>
      <c r="E129" s="25" t="s">
        <v>490</v>
      </c>
      <c r="F129" s="19" t="s">
        <v>1061</v>
      </c>
      <c r="H129" s="71"/>
    </row>
    <row r="130" spans="1:9">
      <c r="A130" s="12"/>
      <c r="B130" s="14" t="s">
        <v>614</v>
      </c>
      <c r="C130" s="11">
        <v>-3846853.0499999993</v>
      </c>
      <c r="D130" s="1"/>
      <c r="E130" s="25" t="s">
        <v>490</v>
      </c>
      <c r="F130" s="19" t="s">
        <v>865</v>
      </c>
      <c r="H130" s="71"/>
    </row>
    <row r="131" spans="1:9">
      <c r="A131" s="12"/>
      <c r="B131" s="3" t="s">
        <v>610</v>
      </c>
      <c r="C131" s="11">
        <v>5276801715.1179991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23309360.370000001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-1574341.71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20587167</v>
      </c>
      <c r="D137" s="1"/>
      <c r="E137" s="25" t="s">
        <v>448</v>
      </c>
      <c r="F137" s="25" t="s">
        <v>1171</v>
      </c>
      <c r="H137" s="71"/>
    </row>
    <row r="138" spans="1:9">
      <c r="A138" s="12"/>
      <c r="B138" s="2" t="s">
        <v>340</v>
      </c>
      <c r="C138" s="11">
        <v>16930905</v>
      </c>
      <c r="D138" s="1"/>
      <c r="E138" s="25" t="s">
        <v>448</v>
      </c>
      <c r="F138" s="25" t="s">
        <v>1172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194204338</v>
      </c>
      <c r="D140" s="1"/>
      <c r="E140" s="25" t="s">
        <v>449</v>
      </c>
      <c r="F140" s="19" t="s">
        <v>822</v>
      </c>
      <c r="H140" s="71"/>
    </row>
    <row r="141" spans="1:9">
      <c r="A141" s="12"/>
      <c r="B141" s="2" t="s">
        <v>309</v>
      </c>
      <c r="C141" s="11">
        <v>119056805</v>
      </c>
      <c r="D141" s="1"/>
      <c r="E141" s="25" t="s">
        <v>449</v>
      </c>
      <c r="F141" s="19" t="s">
        <v>823</v>
      </c>
      <c r="H141" s="71"/>
    </row>
    <row r="142" spans="1:9">
      <c r="A142" s="12"/>
      <c r="B142" s="2" t="s">
        <v>310</v>
      </c>
      <c r="C142" s="11">
        <v>75147533</v>
      </c>
      <c r="D142" s="1"/>
      <c r="E142" s="25" t="s">
        <v>449</v>
      </c>
      <c r="F142" s="19" t="s">
        <v>824</v>
      </c>
      <c r="H142" s="71"/>
    </row>
    <row r="143" spans="1:9">
      <c r="A143" s="12"/>
      <c r="B143" s="2" t="s">
        <v>342</v>
      </c>
      <c r="C143" s="11">
        <v>521965140</v>
      </c>
      <c r="D143" s="1"/>
      <c r="E143" s="25" t="s">
        <v>450</v>
      </c>
      <c r="F143" s="19" t="s">
        <v>825</v>
      </c>
      <c r="H143" s="71"/>
      <c r="I143" s="77"/>
    </row>
    <row r="144" spans="1:9">
      <c r="A144" s="12"/>
      <c r="B144" s="2" t="s">
        <v>343</v>
      </c>
      <c r="C144" s="11">
        <v>65624304</v>
      </c>
      <c r="D144" s="1"/>
      <c r="E144" s="25" t="s">
        <v>450</v>
      </c>
      <c r="F144" s="19" t="s">
        <v>833</v>
      </c>
      <c r="H144" s="71"/>
    </row>
    <row r="145" spans="1:9">
      <c r="A145" s="12"/>
      <c r="B145" s="2" t="s">
        <v>344</v>
      </c>
      <c r="C145" s="11">
        <v>456340836</v>
      </c>
      <c r="D145" s="1"/>
      <c r="E145" s="25" t="s">
        <v>450</v>
      </c>
      <c r="F145" s="19" t="s">
        <v>834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188714711</v>
      </c>
      <c r="D147" s="1"/>
      <c r="E147" s="25" t="s">
        <v>492</v>
      </c>
      <c r="F147" s="25" t="s">
        <v>952</v>
      </c>
      <c r="H147" s="71"/>
    </row>
    <row r="148" spans="1:9">
      <c r="A148" s="4"/>
      <c r="B148" s="4" t="s">
        <v>901</v>
      </c>
      <c r="C148" s="11">
        <v>5223655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902</v>
      </c>
      <c r="C149" s="11">
        <v>5181704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16074319</v>
      </c>
      <c r="D150" s="1"/>
      <c r="E150" s="25" t="s">
        <v>492</v>
      </c>
      <c r="F150" s="25" t="s">
        <v>953</v>
      </c>
      <c r="H150" s="71"/>
    </row>
    <row r="151" spans="1:9">
      <c r="A151" s="12"/>
      <c r="B151" s="2" t="s">
        <v>656</v>
      </c>
      <c r="C151" s="11">
        <v>66837678</v>
      </c>
      <c r="D151" s="1"/>
      <c r="E151" s="25" t="s">
        <v>492</v>
      </c>
      <c r="F151" s="25" t="s">
        <v>954</v>
      </c>
      <c r="H151" s="71"/>
    </row>
    <row r="152" spans="1:9">
      <c r="A152" s="4" t="s">
        <v>272</v>
      </c>
      <c r="B152" s="4" t="s">
        <v>905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906</v>
      </c>
      <c r="H153" s="71"/>
    </row>
    <row r="154" spans="1:9">
      <c r="A154" s="4" t="s">
        <v>474</v>
      </c>
      <c r="B154" s="2" t="s">
        <v>580</v>
      </c>
      <c r="C154" s="11">
        <v>8420553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78548733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53845832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15702209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23984</v>
      </c>
      <c r="D158" s="1"/>
      <c r="E158" s="25" t="s">
        <v>444</v>
      </c>
      <c r="F158" s="25" t="s">
        <v>817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3.0999999999999996E-2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2023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79815563.070000008</v>
      </c>
      <c r="D377" s="146" t="s">
        <v>1176</v>
      </c>
      <c r="E377" s="25" t="s">
        <v>480</v>
      </c>
      <c r="F377" s="25" t="s">
        <v>1134</v>
      </c>
      <c r="H377" s="71"/>
    </row>
    <row r="378" spans="1:8">
      <c r="A378" s="4" t="s">
        <v>461</v>
      </c>
      <c r="B378" s="4" t="s">
        <v>363</v>
      </c>
      <c r="C378" s="145">
        <v>4710200340</v>
      </c>
      <c r="D378" s="146" t="str">
        <f>D377</f>
        <v>December, 2023</v>
      </c>
      <c r="E378" s="25" t="s">
        <v>441</v>
      </c>
      <c r="F378" s="19" t="s">
        <v>946</v>
      </c>
      <c r="H378" s="71"/>
    </row>
    <row r="379" spans="1:8">
      <c r="A379" s="4" t="s">
        <v>461</v>
      </c>
      <c r="B379" s="2" t="s">
        <v>364</v>
      </c>
      <c r="C379" s="145">
        <v>102977731</v>
      </c>
      <c r="D379" s="146" t="str">
        <f>D377</f>
        <v>December, 2023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2173099168</v>
      </c>
      <c r="D380" s="146" t="str">
        <f>D377</f>
        <v>December, 2023</v>
      </c>
      <c r="E380" s="25" t="s">
        <v>482</v>
      </c>
      <c r="F380" s="19" t="s">
        <v>1110</v>
      </c>
      <c r="H380" s="71"/>
    </row>
    <row r="381" spans="1:8">
      <c r="A381" s="4" t="s">
        <v>461</v>
      </c>
      <c r="B381" s="3" t="s">
        <v>283</v>
      </c>
      <c r="C381" s="145">
        <v>2047700</v>
      </c>
      <c r="D381" s="146" t="str">
        <f>D377</f>
        <v>December, 2023</v>
      </c>
      <c r="E381" s="25" t="s">
        <v>448</v>
      </c>
      <c r="F381" s="25" t="s">
        <v>1111</v>
      </c>
      <c r="H381" s="71"/>
    </row>
    <row r="382" spans="1:8">
      <c r="A382" s="4" t="s">
        <v>464</v>
      </c>
      <c r="B382" s="3" t="s">
        <v>421</v>
      </c>
      <c r="C382" s="145">
        <v>29082470.630000003</v>
      </c>
      <c r="D382" s="146" t="str">
        <f>D377</f>
        <v>December, 2023</v>
      </c>
      <c r="E382" s="25" t="s">
        <v>480</v>
      </c>
      <c r="F382" s="25" t="s">
        <v>1133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  <rowBreaks count="1" manualBreakCount="1">
    <brk id="7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9"/>
  <sheetViews>
    <sheetView view="pageBreakPreview" zoomScale="60" zoomScaleNormal="100" workbookViewId="0">
      <selection activeCell="E48" sqref="E48"/>
    </sheetView>
  </sheetViews>
  <sheetFormatPr defaultColWidth="9" defaultRowHeight="12"/>
  <cols>
    <col min="1" max="1" width="6.625" style="37" customWidth="1"/>
    <col min="2" max="2" width="43.75" style="37" customWidth="1"/>
    <col min="3" max="3" width="12.37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972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966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972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967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0"/>
  <sheetViews>
    <sheetView zoomScaleNormal="100" workbookViewId="0">
      <selection activeCell="D41" sqref="D41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12/31/2023 (actuals) for 2024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899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188714711</v>
      </c>
      <c r="D9" s="14">
        <f>C9</f>
        <v>188714711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903</v>
      </c>
      <c r="C13" s="3">
        <f>+INPUT!C148</f>
        <v>5223655</v>
      </c>
      <c r="D13" s="3">
        <f>C13</f>
        <v>5223655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904</v>
      </c>
      <c r="C15" s="3">
        <f>+INPUT!C149</f>
        <v>5181704</v>
      </c>
      <c r="D15" s="3">
        <f>C15</f>
        <v>5181704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958</v>
      </c>
      <c r="C19" s="14">
        <f>+INPUT!C150</f>
        <v>16074319</v>
      </c>
      <c r="D19" s="14">
        <f>C19</f>
        <v>16074319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1744984.2873214169</v>
      </c>
      <c r="D21" s="14">
        <f>C21</f>
        <v>1744984.2873214169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925</v>
      </c>
      <c r="C23" s="14">
        <f>ROUND(INPUT!C151*'B7'!$D$42,10)</f>
        <v>1476105.7808647</v>
      </c>
      <c r="D23" s="14">
        <f>ROUND($C$23*('B7'!$E$32/'B7'!$D$32),10)</f>
        <v>0</v>
      </c>
      <c r="E23" s="14">
        <f>ROUND($C$23*('B7'!$F32/'B7'!$D$32),10)</f>
        <v>1476105.7808647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900</v>
      </c>
      <c r="C26" s="14">
        <f>SUM(C9:C24)</f>
        <v>218415479.0681861</v>
      </c>
      <c r="D26" s="14">
        <f>SUM(D9:D24)</f>
        <v>216939373.28732142</v>
      </c>
      <c r="E26" s="14">
        <f>SUM(E9:E24)</f>
        <v>1476105.7808647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1037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959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1098</v>
      </c>
      <c r="C34" s="3"/>
      <c r="D34" s="3"/>
    </row>
    <row r="35" spans="1:5" ht="12.75">
      <c r="A35" s="3"/>
      <c r="B35" s="4" t="s">
        <v>1062</v>
      </c>
      <c r="C35" s="3"/>
      <c r="D35" s="3"/>
    </row>
    <row r="36" spans="1:5" ht="12.75">
      <c r="A36" s="2" t="s">
        <v>398</v>
      </c>
      <c r="B36" s="4" t="s">
        <v>960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928</v>
      </c>
      <c r="B39" s="204" t="s">
        <v>588</v>
      </c>
      <c r="C39" s="204"/>
      <c r="D39" s="204"/>
      <c r="E39" s="3"/>
    </row>
    <row r="40" spans="1:5" ht="12.75">
      <c r="A40" s="210" t="s">
        <v>929</v>
      </c>
      <c r="B40" s="204" t="s">
        <v>922</v>
      </c>
      <c r="C40" s="204" t="s">
        <v>923</v>
      </c>
      <c r="D40" s="204">
        <v>17943243</v>
      </c>
      <c r="E40" s="3"/>
    </row>
    <row r="41" spans="1:5" ht="12.75">
      <c r="A41" s="210" t="s">
        <v>930</v>
      </c>
      <c r="B41" s="204" t="s">
        <v>530</v>
      </c>
      <c r="C41" s="204" t="s">
        <v>923</v>
      </c>
      <c r="D41" s="209">
        <v>48894435</v>
      </c>
      <c r="E41" s="3"/>
    </row>
    <row r="42" spans="1:5" ht="12.75">
      <c r="A42" s="210" t="s">
        <v>931</v>
      </c>
      <c r="B42" s="204" t="s">
        <v>924</v>
      </c>
      <c r="C42" s="204" t="s">
        <v>936</v>
      </c>
      <c r="D42" s="204">
        <f>+D40+D41</f>
        <v>66837678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932</v>
      </c>
      <c r="B44" s="204" t="s">
        <v>927</v>
      </c>
      <c r="C44" s="204" t="s">
        <v>1099</v>
      </c>
      <c r="D44" s="217">
        <f>'B7'!E42</f>
        <v>0</v>
      </c>
      <c r="E44" s="3"/>
    </row>
    <row r="45" spans="1:5" ht="12.75">
      <c r="A45" s="210" t="s">
        <v>933</v>
      </c>
      <c r="B45" s="204" t="s">
        <v>941</v>
      </c>
      <c r="C45" s="204" t="s">
        <v>937</v>
      </c>
      <c r="D45" s="204">
        <f>+D42*D44</f>
        <v>0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934</v>
      </c>
      <c r="B47" s="204" t="s">
        <v>1084</v>
      </c>
      <c r="C47" s="204" t="s">
        <v>1099</v>
      </c>
      <c r="D47" s="217">
        <f>+'B7'!F42</f>
        <v>2.2084935100000001E-2</v>
      </c>
      <c r="E47" s="3"/>
    </row>
    <row r="48" spans="1:5" ht="12.75">
      <c r="A48" s="210" t="s">
        <v>935</v>
      </c>
      <c r="B48" s="204" t="s">
        <v>942</v>
      </c>
      <c r="C48" s="204" t="s">
        <v>938</v>
      </c>
      <c r="D48" s="218">
        <f>+D42*D47</f>
        <v>1476105.7808646979</v>
      </c>
      <c r="E48" s="3"/>
    </row>
    <row r="49" spans="1:5" ht="12.75">
      <c r="A49" s="210" t="s">
        <v>939</v>
      </c>
      <c r="B49" s="204" t="s">
        <v>926</v>
      </c>
      <c r="C49" s="204" t="s">
        <v>940</v>
      </c>
      <c r="D49" s="204">
        <f>+D45+D48</f>
        <v>1476105.7808646979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I40"/>
  <sheetViews>
    <sheetView view="pageBreakPreview" zoomScale="60" zoomScaleNormal="100" workbookViewId="0">
      <selection activeCell="F23" sqref="F23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375" style="37" customWidth="1"/>
    <col min="11" max="11" width="15.37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7" t="s">
        <v>47</v>
      </c>
      <c r="B1" s="288"/>
      <c r="C1" s="289"/>
      <c r="D1" s="290"/>
      <c r="E1" s="290"/>
      <c r="F1" s="291" t="s">
        <v>972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972</v>
      </c>
      <c r="W1" s="37" t="s">
        <v>272</v>
      </c>
      <c r="AC1" s="37" t="s">
        <v>272</v>
      </c>
      <c r="AI1" s="37" t="s">
        <v>272</v>
      </c>
    </row>
    <row r="2" spans="1:35" ht="1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12/31/2023 (actuals) for 2024</v>
      </c>
      <c r="I2" s="289"/>
      <c r="J2" s="289"/>
      <c r="K2" s="289"/>
      <c r="L2" s="289"/>
      <c r="M2" s="291" t="s">
        <v>50</v>
      </c>
    </row>
    <row r="3" spans="1:35" ht="15">
      <c r="A3" s="293" t="str">
        <f>INPUT!$B$2</f>
        <v>12 Months Ending 12/31/2023 (actuals) for 2024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855</v>
      </c>
      <c r="K8" s="305">
        <f>'B5'!D38</f>
        <v>228680325.31066301</v>
      </c>
      <c r="L8" s="305">
        <f>'B5'!E38</f>
        <v>217017755.32251701</v>
      </c>
      <c r="M8" s="305">
        <f>'B5'!F38</f>
        <v>11662569.988146201</v>
      </c>
    </row>
    <row r="9" spans="1:35" ht="1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0.20481255003065255</v>
      </c>
      <c r="L10" s="306">
        <f>+$K$10</f>
        <v>0.20481255003065255</v>
      </c>
      <c r="M10" s="306">
        <f>+$K$10</f>
        <v>0.20481255003065255</v>
      </c>
    </row>
    <row r="11" spans="1:35" ht="15">
      <c r="A11" s="307">
        <v>1</v>
      </c>
      <c r="B11" s="289" t="s">
        <v>583</v>
      </c>
      <c r="C11" s="308" t="s">
        <v>376</v>
      </c>
      <c r="D11" s="289">
        <f>INPUT!C154</f>
        <v>8420553</v>
      </c>
      <c r="E11" s="308" t="s">
        <v>383</v>
      </c>
      <c r="F11" s="289">
        <f>(D11*D31)</f>
        <v>185967.3698793315</v>
      </c>
      <c r="G11" s="290"/>
      <c r="H11" s="289"/>
      <c r="I11" s="289"/>
      <c r="J11" s="287"/>
      <c r="K11" s="305"/>
      <c r="L11" s="305"/>
      <c r="M11" s="305"/>
    </row>
    <row r="12" spans="1:35" ht="1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46836600.568716072</v>
      </c>
      <c r="L12" s="289">
        <f>+L8*L10</f>
        <v>44447959.869532928</v>
      </c>
      <c r="M12" s="289">
        <f>+M8*M10</f>
        <v>2388640.6991831805</v>
      </c>
    </row>
    <row r="13" spans="1:35" ht="15">
      <c r="A13" s="287">
        <v>2</v>
      </c>
      <c r="B13" s="287" t="s">
        <v>584</v>
      </c>
      <c r="C13" s="294" t="s">
        <v>376</v>
      </c>
      <c r="D13" s="305">
        <f>INPUT!C155</f>
        <v>78548733</v>
      </c>
      <c r="E13" s="308" t="s">
        <v>385</v>
      </c>
      <c r="F13" s="289">
        <f>D13*'B6'!$F$20</f>
        <v>30906223.149434309</v>
      </c>
      <c r="G13" s="290"/>
      <c r="H13" s="287"/>
      <c r="I13" s="287"/>
      <c r="J13" s="287"/>
      <c r="K13" s="305"/>
      <c r="L13" s="305"/>
      <c r="M13" s="305"/>
    </row>
    <row r="14" spans="1:35" ht="1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">
      <c r="A15" s="287">
        <v>3</v>
      </c>
      <c r="B15" s="287" t="s">
        <v>521</v>
      </c>
      <c r="C15" s="308" t="s">
        <v>376</v>
      </c>
      <c r="D15" s="305">
        <f>+INPUT!C157</f>
        <v>15702209</v>
      </c>
      <c r="E15" s="303" t="s">
        <v>385</v>
      </c>
      <c r="F15" s="289">
        <f>(INPUT!C157*'B6'!$F$20)</f>
        <v>6178278.843696381</v>
      </c>
      <c r="G15" s="290"/>
      <c r="H15" s="287"/>
      <c r="I15" s="304"/>
      <c r="J15" s="304"/>
      <c r="K15" s="309"/>
      <c r="L15" s="309"/>
      <c r="M15" s="309"/>
    </row>
    <row r="16" spans="1:35" ht="1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46836600.568716072</v>
      </c>
      <c r="L16" s="305">
        <f>+L12+L14</f>
        <v>44447959.869532928</v>
      </c>
      <c r="M16" s="305">
        <f>+M12+M14</f>
        <v>2388640.6991831805</v>
      </c>
    </row>
    <row r="17" spans="1:13" ht="15">
      <c r="A17" s="287">
        <v>4</v>
      </c>
      <c r="B17" s="287" t="s">
        <v>69</v>
      </c>
      <c r="C17" s="308" t="s">
        <v>376</v>
      </c>
      <c r="D17" s="305">
        <f>INPUT!C156</f>
        <v>53845832</v>
      </c>
      <c r="E17" s="310" t="s">
        <v>272</v>
      </c>
      <c r="F17" s="289">
        <f>+D17</f>
        <v>53845832</v>
      </c>
      <c r="G17" s="290"/>
      <c r="H17" s="290"/>
      <c r="I17" s="290"/>
      <c r="J17" s="290"/>
      <c r="K17" s="290"/>
      <c r="L17" s="290"/>
      <c r="M17" s="290"/>
    </row>
    <row r="18" spans="1:13" ht="1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">
      <c r="A19" s="287">
        <v>5</v>
      </c>
      <c r="B19" s="287" t="s">
        <v>778</v>
      </c>
      <c r="C19" s="308" t="s">
        <v>376</v>
      </c>
      <c r="D19" s="289">
        <f>INPUT!C158</f>
        <v>23984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">
      <c r="A21" s="307">
        <v>6</v>
      </c>
      <c r="B21" s="289" t="s">
        <v>179</v>
      </c>
      <c r="C21" s="311" t="s">
        <v>746</v>
      </c>
      <c r="D21" s="289">
        <f>SUM(D11:D19)</f>
        <v>156541311</v>
      </c>
      <c r="E21" s="289"/>
      <c r="F21" s="289">
        <f>SUM(F11:F19)</f>
        <v>91116301.363010019</v>
      </c>
      <c r="G21" s="290"/>
      <c r="H21" s="290"/>
      <c r="I21" s="290"/>
      <c r="J21" s="290"/>
      <c r="K21" s="290"/>
      <c r="L21" s="290"/>
      <c r="M21" s="290"/>
    </row>
    <row r="22" spans="1:13" ht="1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">
      <c r="A30" s="289"/>
      <c r="B30" s="304" t="s">
        <v>223</v>
      </c>
      <c r="C30" s="289">
        <f>'B7'!F50</f>
        <v>154100699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">
      <c r="A31" s="290"/>
      <c r="B31" s="289" t="s">
        <v>229</v>
      </c>
      <c r="C31" s="289">
        <f>'B7'!F52</f>
        <v>3403304</v>
      </c>
      <c r="D31" s="315">
        <f>'B7'!F53</f>
        <v>2.20849355E-2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I37"/>
  <sheetViews>
    <sheetView view="pageBreakPreview" zoomScaleNormal="100" zoomScaleSheetLayoutView="100" workbookViewId="0">
      <selection activeCell="D13" sqref="D13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972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12/31/2023 (actuals) for 2024</v>
      </c>
      <c r="D2" s="24" t="s">
        <v>52</v>
      </c>
    </row>
    <row r="4" spans="1:35">
      <c r="A4" s="19" t="s">
        <v>65</v>
      </c>
      <c r="C4" s="19" t="s">
        <v>1066</v>
      </c>
      <c r="D4" s="274" t="s">
        <v>1069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1085</v>
      </c>
      <c r="C6" s="73"/>
      <c r="D6" s="280">
        <f>1-(((1-D16)*(1-D15))/(1-D16*D15*D17))</f>
        <v>0.23448999999999998</v>
      </c>
      <c r="F6" s="74"/>
    </row>
    <row r="7" spans="1:35" ht="14.25">
      <c r="A7" s="96"/>
      <c r="D7" s="280"/>
    </row>
    <row r="8" spans="1:35" ht="14.25">
      <c r="A8" s="97" t="s">
        <v>275</v>
      </c>
      <c r="B8" s="98" t="s">
        <v>502</v>
      </c>
      <c r="C8" s="73"/>
      <c r="D8" s="280">
        <f>(D6/(1-D6))*(1-(D18/D19))</f>
        <v>0.20481255003065255</v>
      </c>
      <c r="F8" s="74"/>
    </row>
    <row r="9" spans="1:35" ht="14.25">
      <c r="A9" s="97"/>
      <c r="C9" s="229" t="s">
        <v>272</v>
      </c>
      <c r="D9" s="281"/>
    </row>
    <row r="10" spans="1:35" ht="14.25">
      <c r="A10" s="97" t="s">
        <v>276</v>
      </c>
      <c r="B10" s="98" t="s">
        <v>1070</v>
      </c>
      <c r="C10" s="73"/>
      <c r="D10" s="282"/>
      <c r="F10" s="73"/>
    </row>
    <row r="11" spans="1:35" ht="14.25">
      <c r="A11" s="97"/>
      <c r="B11" s="98" t="s">
        <v>1087</v>
      </c>
      <c r="D11" s="281"/>
      <c r="F11" s="73"/>
    </row>
    <row r="12" spans="1:35" ht="14.25">
      <c r="A12" s="97"/>
      <c r="B12" s="98"/>
      <c r="D12" s="281"/>
      <c r="F12" s="73"/>
    </row>
    <row r="13" spans="1:35" ht="14.25">
      <c r="A13" s="97" t="s">
        <v>278</v>
      </c>
      <c r="B13" s="98" t="s">
        <v>503</v>
      </c>
      <c r="D13" s="283">
        <f>1/(1-D6)</f>
        <v>1.3063186633747437</v>
      </c>
      <c r="F13" s="73"/>
    </row>
    <row r="14" spans="1:35" ht="14.25">
      <c r="A14" s="97"/>
      <c r="C14" s="73"/>
      <c r="D14" s="282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0">
        <f>INPUT!C161</f>
        <v>3.0999999999999996E-2</v>
      </c>
      <c r="F16" s="73"/>
    </row>
    <row r="17" spans="1:8" ht="14.25">
      <c r="A17" s="97" t="s">
        <v>271</v>
      </c>
      <c r="B17" s="102" t="s">
        <v>648</v>
      </c>
      <c r="C17" s="3" t="s">
        <v>1086</v>
      </c>
      <c r="D17" s="280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0">
        <f>'B11-B14'!H11</f>
        <v>2.4953756000000001E-2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0">
        <f>'B11-B14'!H17</f>
        <v>7.5303850499999991E-2</v>
      </c>
      <c r="F19" s="73"/>
    </row>
    <row r="20" spans="1:8" ht="14.25">
      <c r="A20" s="97"/>
      <c r="D20" s="280"/>
    </row>
    <row r="21" spans="1:8" ht="14.25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0">
        <f>+D33</f>
        <v>0.39346558455437303</v>
      </c>
    </row>
    <row r="23" spans="1:8" ht="14.25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.25">
      <c r="D25" s="281"/>
    </row>
    <row r="26" spans="1:8" ht="14.25">
      <c r="D26" s="281"/>
    </row>
    <row r="27" spans="1:8" ht="14.25">
      <c r="A27" s="97" t="s">
        <v>399</v>
      </c>
      <c r="B27" s="139" t="s">
        <v>601</v>
      </c>
      <c r="D27" s="286" t="s">
        <v>77</v>
      </c>
      <c r="E27" s="4"/>
    </row>
    <row r="28" spans="1:8" ht="14.25">
      <c r="A28" s="97" t="s">
        <v>401</v>
      </c>
      <c r="B28" s="4" t="s">
        <v>515</v>
      </c>
      <c r="C28" s="32" t="s">
        <v>1059</v>
      </c>
      <c r="D28" s="284">
        <f>'B6'!D16</f>
        <v>17670477629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1071</v>
      </c>
      <c r="D29" s="281">
        <f>'B6'!F16</f>
        <v>6952724809.649457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1">
        <f>'B6'!G16</f>
        <v>6932124348.0699997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1">
        <f>'B6'!H16</f>
        <v>20600461.579457328</v>
      </c>
      <c r="E31" s="76"/>
      <c r="F31" s="75"/>
    </row>
    <row r="32" spans="1:8" ht="14.25">
      <c r="C32" s="32"/>
      <c r="D32" s="281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859</v>
      </c>
      <c r="D33" s="285">
        <f>+D29/D28</f>
        <v>0.39346558455437303</v>
      </c>
      <c r="F33" s="75"/>
    </row>
    <row r="34" spans="1:8" ht="14.25">
      <c r="A34" s="97" t="s">
        <v>408</v>
      </c>
      <c r="B34" s="3" t="s">
        <v>605</v>
      </c>
      <c r="C34" s="32" t="s">
        <v>860</v>
      </c>
      <c r="D34" s="285">
        <f>+D30/D29</f>
        <v>0.99703706645330381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5">
        <f>+D31/D29</f>
        <v>2.9629335466962001E-3</v>
      </c>
      <c r="F35" s="75"/>
    </row>
    <row r="36" spans="1:8">
      <c r="A36" s="97"/>
      <c r="C36" s="32"/>
      <c r="D36" s="91"/>
      <c r="F36" s="75"/>
    </row>
    <row r="37" spans="1:8">
      <c r="A37" s="3" t="s">
        <v>858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3"/>
  <sheetViews>
    <sheetView view="pageBreakPreview" zoomScale="115" zoomScaleNormal="100" zoomScaleSheetLayoutView="115" workbookViewId="0">
      <selection activeCell="C5" sqref="C5:G5"/>
    </sheetView>
  </sheetViews>
  <sheetFormatPr defaultRowHeight="12"/>
  <sheetData>
    <row r="1" spans="1:9" ht="12.75">
      <c r="A1" s="2" t="s">
        <v>272</v>
      </c>
      <c r="C1" s="3"/>
      <c r="I1" s="41" t="s">
        <v>972</v>
      </c>
    </row>
    <row r="2" spans="1:9" ht="12.75">
      <c r="A2" s="30" t="s">
        <v>272</v>
      </c>
      <c r="B2" s="3" t="s">
        <v>272</v>
      </c>
      <c r="C2" s="331" t="s">
        <v>814</v>
      </c>
      <c r="D2" s="333"/>
      <c r="E2" s="333"/>
      <c r="F2" s="333"/>
      <c r="G2" s="333"/>
      <c r="I2" s="24" t="s">
        <v>973</v>
      </c>
    </row>
    <row r="3" spans="1:9" ht="12.75">
      <c r="C3" s="334" t="s">
        <v>811</v>
      </c>
      <c r="D3" s="334"/>
      <c r="E3" s="334"/>
      <c r="F3" s="334"/>
      <c r="G3" s="334"/>
      <c r="I3" s="24" t="s">
        <v>974</v>
      </c>
    </row>
    <row r="4" spans="1:9" ht="12.75">
      <c r="C4" s="19" t="s">
        <v>272</v>
      </c>
      <c r="D4" s="19" t="s">
        <v>1028</v>
      </c>
      <c r="E4" s="19"/>
      <c r="F4" s="19"/>
      <c r="G4" s="19"/>
      <c r="I4" s="24"/>
    </row>
    <row r="5" spans="1:9" ht="12.75">
      <c r="C5" s="332" t="s">
        <v>1165</v>
      </c>
      <c r="D5" s="333"/>
      <c r="E5" s="333"/>
      <c r="F5" s="333"/>
      <c r="G5" s="333"/>
    </row>
    <row r="9" spans="1:9" ht="12.75">
      <c r="A9" s="220" t="s">
        <v>1027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1026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975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976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977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978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1127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979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980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981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982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977</v>
      </c>
      <c r="D27" s="220"/>
      <c r="E27" s="220"/>
      <c r="F27" s="220"/>
      <c r="G27" s="233" t="s">
        <v>1128</v>
      </c>
      <c r="H27" s="220"/>
    </row>
    <row r="28" spans="1:8" ht="12.75">
      <c r="A28" s="220"/>
      <c r="B28" s="221">
        <v>312</v>
      </c>
      <c r="C28" s="220" t="s">
        <v>978</v>
      </c>
      <c r="D28" s="220"/>
      <c r="E28" s="220"/>
      <c r="F28" s="220"/>
      <c r="G28" s="233" t="s">
        <v>1128</v>
      </c>
      <c r="H28" s="220"/>
    </row>
    <row r="29" spans="1:8" ht="12.75">
      <c r="A29" s="220"/>
      <c r="B29" s="221">
        <v>314</v>
      </c>
      <c r="C29" s="220" t="s">
        <v>979</v>
      </c>
      <c r="D29" s="220"/>
      <c r="E29" s="220"/>
      <c r="F29" s="220"/>
      <c r="G29" s="233" t="s">
        <v>1128</v>
      </c>
      <c r="H29" s="220"/>
    </row>
    <row r="30" spans="1:8" ht="12.75">
      <c r="A30" s="220"/>
      <c r="B30" s="221">
        <v>315</v>
      </c>
      <c r="C30" s="220" t="s">
        <v>980</v>
      </c>
      <c r="D30" s="220"/>
      <c r="E30" s="220"/>
      <c r="F30" s="220"/>
      <c r="G30" s="233" t="s">
        <v>1128</v>
      </c>
      <c r="H30" s="220"/>
    </row>
    <row r="31" spans="1:8" ht="12.75">
      <c r="A31" s="220"/>
      <c r="B31" s="221">
        <v>316</v>
      </c>
      <c r="C31" s="220" t="s">
        <v>981</v>
      </c>
      <c r="D31" s="220"/>
      <c r="E31" s="220"/>
      <c r="F31" s="220"/>
      <c r="G31" s="233" t="s">
        <v>1128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983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6">
        <v>311</v>
      </c>
      <c r="C35" s="235" t="s">
        <v>977</v>
      </c>
      <c r="D35" s="235"/>
      <c r="E35" s="235"/>
      <c r="F35" s="235"/>
      <c r="G35" s="237">
        <v>2.0299999999999999E-2</v>
      </c>
      <c r="H35" s="220"/>
    </row>
    <row r="36" spans="1:8" ht="12.75">
      <c r="A36" s="220"/>
      <c r="B36" s="236">
        <v>312</v>
      </c>
      <c r="C36" s="235" t="s">
        <v>978</v>
      </c>
      <c r="D36" s="235"/>
      <c r="E36" s="235"/>
      <c r="F36" s="235"/>
      <c r="G36" s="237">
        <v>3.2899999999999999E-2</v>
      </c>
      <c r="H36" s="220"/>
    </row>
    <row r="37" spans="1:8" ht="12.75">
      <c r="A37" s="220"/>
      <c r="B37" s="236">
        <v>312</v>
      </c>
      <c r="C37" s="235" t="s">
        <v>1127</v>
      </c>
      <c r="D37" s="235"/>
      <c r="E37" s="235"/>
      <c r="F37" s="235"/>
      <c r="G37" s="237">
        <v>6.0100000000000001E-2</v>
      </c>
      <c r="H37" s="220"/>
    </row>
    <row r="38" spans="1:8" ht="12.75">
      <c r="A38" s="220"/>
      <c r="B38" s="236">
        <v>314</v>
      </c>
      <c r="C38" s="235" t="s">
        <v>979</v>
      </c>
      <c r="D38" s="235"/>
      <c r="E38" s="235"/>
      <c r="F38" s="235"/>
      <c r="G38" s="237">
        <v>3.32E-2</v>
      </c>
      <c r="H38" s="220"/>
    </row>
    <row r="39" spans="1:8" ht="12.75">
      <c r="A39" s="220"/>
      <c r="B39" s="236">
        <v>315</v>
      </c>
      <c r="C39" s="235" t="s">
        <v>980</v>
      </c>
      <c r="D39" s="235"/>
      <c r="E39" s="235"/>
      <c r="F39" s="235"/>
      <c r="G39" s="237">
        <v>2.7900000000000001E-2</v>
      </c>
      <c r="H39" s="220"/>
    </row>
    <row r="40" spans="1:8" ht="12.75">
      <c r="A40" s="220"/>
      <c r="B40" s="236">
        <v>316</v>
      </c>
      <c r="C40" s="235" t="s">
        <v>981</v>
      </c>
      <c r="D40" s="235"/>
      <c r="E40" s="235"/>
      <c r="F40" s="235"/>
      <c r="G40" s="237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984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39">
        <v>311</v>
      </c>
      <c r="C45" s="238" t="s">
        <v>977</v>
      </c>
      <c r="D45" s="238"/>
      <c r="E45" s="238"/>
      <c r="F45" s="238"/>
      <c r="G45" s="240">
        <v>2.5399999999999999E-2</v>
      </c>
      <c r="H45" s="220"/>
    </row>
    <row r="46" spans="1:8" ht="12.75">
      <c r="A46" s="220"/>
      <c r="B46" s="239">
        <v>312</v>
      </c>
      <c r="C46" s="238" t="s">
        <v>978</v>
      </c>
      <c r="D46" s="238"/>
      <c r="E46" s="238"/>
      <c r="F46" s="238"/>
      <c r="G46" s="240">
        <v>3.56E-2</v>
      </c>
      <c r="H46" s="220"/>
    </row>
    <row r="47" spans="1:8" s="234" customFormat="1" ht="12.75">
      <c r="A47" s="235"/>
      <c r="B47" s="239">
        <v>312</v>
      </c>
      <c r="C47" s="238" t="s">
        <v>1127</v>
      </c>
      <c r="D47" s="238"/>
      <c r="E47" s="238"/>
      <c r="F47" s="238"/>
      <c r="G47" s="240">
        <v>7.6300000000000007E-2</v>
      </c>
      <c r="H47" s="235"/>
    </row>
    <row r="48" spans="1:8" ht="12.75">
      <c r="A48" s="220"/>
      <c r="B48" s="239">
        <v>314</v>
      </c>
      <c r="C48" s="238" t="s">
        <v>979</v>
      </c>
      <c r="D48" s="238"/>
      <c r="E48" s="238"/>
      <c r="F48" s="238"/>
      <c r="G48" s="240">
        <v>3.1199999999999999E-2</v>
      </c>
      <c r="H48" s="220"/>
    </row>
    <row r="49" spans="1:9" ht="12.75">
      <c r="A49" s="220"/>
      <c r="B49" s="239">
        <v>315</v>
      </c>
      <c r="C49" s="238" t="s">
        <v>980</v>
      </c>
      <c r="D49" s="238"/>
      <c r="E49" s="238"/>
      <c r="F49" s="238"/>
      <c r="G49" s="240">
        <v>2.1700000000000001E-2</v>
      </c>
      <c r="H49" s="220"/>
    </row>
    <row r="50" spans="1:9" ht="12.75">
      <c r="A50" s="220"/>
      <c r="B50" s="239">
        <v>316</v>
      </c>
      <c r="C50" s="238" t="s">
        <v>981</v>
      </c>
      <c r="D50" s="238"/>
      <c r="E50" s="238"/>
      <c r="F50" s="238"/>
      <c r="G50" s="240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972</v>
      </c>
    </row>
    <row r="52" spans="1:9" ht="12.75">
      <c r="A52" s="220"/>
      <c r="B52" s="221"/>
      <c r="C52" s="331" t="s">
        <v>814</v>
      </c>
      <c r="D52" s="333"/>
      <c r="E52" s="333"/>
      <c r="F52" s="333"/>
      <c r="G52" s="333"/>
      <c r="H52" s="220"/>
      <c r="I52" s="24" t="s">
        <v>973</v>
      </c>
    </row>
    <row r="53" spans="1:9" ht="12.75">
      <c r="A53" s="220"/>
      <c r="B53" s="221"/>
      <c r="C53" s="334" t="s">
        <v>811</v>
      </c>
      <c r="D53" s="334"/>
      <c r="E53" s="334"/>
      <c r="F53" s="334"/>
      <c r="G53" s="334"/>
      <c r="H53" s="220"/>
      <c r="I53" s="24" t="s">
        <v>1029</v>
      </c>
    </row>
    <row r="54" spans="1:9" ht="12.75">
      <c r="A54" s="220"/>
      <c r="B54" s="221"/>
      <c r="C54" s="19" t="s">
        <v>272</v>
      </c>
      <c r="D54" s="19" t="s">
        <v>1028</v>
      </c>
      <c r="E54" s="19"/>
      <c r="F54" s="19"/>
      <c r="G54" s="19"/>
      <c r="H54" s="220"/>
      <c r="I54" s="24"/>
    </row>
    <row r="55" spans="1:9" ht="12.75">
      <c r="A55" s="220"/>
      <c r="B55" s="221"/>
      <c r="C55" s="332" t="str">
        <f>+C5</f>
        <v>12 Months Ending 12/31/2010 (actuals)</v>
      </c>
      <c r="D55" s="333"/>
      <c r="E55" s="333"/>
      <c r="F55" s="333"/>
      <c r="G55" s="333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985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977</v>
      </c>
      <c r="D60" s="220"/>
      <c r="E60" s="220"/>
      <c r="F60" s="220"/>
      <c r="G60" s="241" t="s">
        <v>1128</v>
      </c>
      <c r="H60" s="220"/>
    </row>
    <row r="61" spans="1:9" ht="12.75">
      <c r="A61" s="220"/>
      <c r="B61" s="221">
        <v>312</v>
      </c>
      <c r="C61" s="220" t="s">
        <v>978</v>
      </c>
      <c r="D61" s="220"/>
      <c r="E61" s="220"/>
      <c r="F61" s="220"/>
      <c r="G61" s="241" t="s">
        <v>1128</v>
      </c>
      <c r="H61" s="220"/>
    </row>
    <row r="62" spans="1:9" ht="12.75">
      <c r="A62" s="220"/>
      <c r="B62" s="221">
        <v>314</v>
      </c>
      <c r="C62" s="220" t="s">
        <v>979</v>
      </c>
      <c r="D62" s="220"/>
      <c r="E62" s="220"/>
      <c r="F62" s="220"/>
      <c r="G62" s="241" t="s">
        <v>1128</v>
      </c>
      <c r="H62" s="220"/>
    </row>
    <row r="63" spans="1:9" ht="12.75">
      <c r="A63" s="220"/>
      <c r="B63" s="221">
        <v>315</v>
      </c>
      <c r="C63" s="220" t="s">
        <v>980</v>
      </c>
      <c r="D63" s="220"/>
      <c r="E63" s="220"/>
      <c r="F63" s="220"/>
      <c r="G63" s="241" t="s">
        <v>1128</v>
      </c>
      <c r="H63" s="220"/>
    </row>
    <row r="64" spans="1:9" ht="12.75">
      <c r="A64" s="220"/>
      <c r="B64" s="221">
        <v>316</v>
      </c>
      <c r="C64" s="220" t="s">
        <v>981</v>
      </c>
      <c r="D64" s="220"/>
      <c r="E64" s="220"/>
      <c r="F64" s="220"/>
      <c r="G64" s="241" t="s">
        <v>1128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986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977</v>
      </c>
      <c r="D69" s="220"/>
      <c r="E69" s="220"/>
      <c r="F69" s="220"/>
      <c r="G69" s="242">
        <v>3.8600000000000002E-2</v>
      </c>
      <c r="H69" s="220"/>
    </row>
    <row r="70" spans="1:8" ht="12.75">
      <c r="A70" s="220"/>
      <c r="B70" s="221">
        <v>312</v>
      </c>
      <c r="C70" s="220" t="s">
        <v>978</v>
      </c>
      <c r="D70" s="220"/>
      <c r="E70" s="220"/>
      <c r="F70" s="220"/>
      <c r="G70" s="242">
        <v>4.7300000000000002E-2</v>
      </c>
      <c r="H70" s="220"/>
    </row>
    <row r="71" spans="1:8" ht="12.75">
      <c r="A71" s="220"/>
      <c r="B71" s="221">
        <v>314</v>
      </c>
      <c r="C71" s="220" t="s">
        <v>979</v>
      </c>
      <c r="D71" s="220"/>
      <c r="E71" s="220"/>
      <c r="F71" s="220"/>
      <c r="G71" s="242">
        <v>3.6799999999999999E-2</v>
      </c>
      <c r="H71" s="220"/>
    </row>
    <row r="72" spans="1:8" ht="12.75">
      <c r="A72" s="220"/>
      <c r="B72" s="221">
        <v>315</v>
      </c>
      <c r="C72" s="220" t="s">
        <v>980</v>
      </c>
      <c r="D72" s="220"/>
      <c r="E72" s="220"/>
      <c r="F72" s="220"/>
      <c r="G72" s="242">
        <v>4.3700000000000003E-2</v>
      </c>
      <c r="H72" s="220"/>
    </row>
    <row r="73" spans="1:8" ht="12.75">
      <c r="A73" s="220"/>
      <c r="B73" s="221">
        <v>316</v>
      </c>
      <c r="C73" s="220" t="s">
        <v>981</v>
      </c>
      <c r="D73" s="220"/>
      <c r="E73" s="220"/>
      <c r="F73" s="220"/>
      <c r="G73" s="242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987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977</v>
      </c>
      <c r="D78" s="220"/>
      <c r="E78" s="220"/>
      <c r="F78" s="220"/>
      <c r="G78" s="243" t="s">
        <v>1128</v>
      </c>
      <c r="H78" s="220"/>
    </row>
    <row r="79" spans="1:8" ht="12.75">
      <c r="A79" s="220"/>
      <c r="B79" s="221">
        <v>312</v>
      </c>
      <c r="C79" s="220" t="s">
        <v>978</v>
      </c>
      <c r="D79" s="220"/>
      <c r="E79" s="220"/>
      <c r="F79" s="220"/>
      <c r="G79" s="243" t="s">
        <v>1128</v>
      </c>
      <c r="H79" s="220"/>
    </row>
    <row r="80" spans="1:8" ht="12.75">
      <c r="A80" s="220"/>
      <c r="B80" s="221">
        <v>314</v>
      </c>
      <c r="C80" s="220" t="s">
        <v>979</v>
      </c>
      <c r="D80" s="220"/>
      <c r="E80" s="220"/>
      <c r="F80" s="220"/>
      <c r="G80" s="243" t="s">
        <v>1128</v>
      </c>
      <c r="H80" s="220"/>
    </row>
    <row r="81" spans="1:8" ht="12.75">
      <c r="A81" s="220"/>
      <c r="B81" s="221">
        <v>315</v>
      </c>
      <c r="C81" s="220" t="s">
        <v>980</v>
      </c>
      <c r="D81" s="220"/>
      <c r="E81" s="220"/>
      <c r="F81" s="220"/>
      <c r="G81" s="243" t="s">
        <v>1128</v>
      </c>
      <c r="H81" s="220"/>
    </row>
    <row r="82" spans="1:8" ht="12.75">
      <c r="A82" s="220"/>
      <c r="B82" s="221">
        <v>316</v>
      </c>
      <c r="C82" s="220" t="s">
        <v>981</v>
      </c>
      <c r="D82" s="220"/>
      <c r="E82" s="220"/>
      <c r="F82" s="220"/>
      <c r="G82" s="243" t="s">
        <v>1128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988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989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977</v>
      </c>
      <c r="D87" s="220"/>
      <c r="E87" s="220"/>
      <c r="F87" s="220"/>
      <c r="G87" s="244" t="s">
        <v>1128</v>
      </c>
      <c r="H87" s="220"/>
    </row>
    <row r="88" spans="1:8" ht="12.75">
      <c r="A88" s="220"/>
      <c r="B88" s="221">
        <v>312</v>
      </c>
      <c r="C88" s="220" t="s">
        <v>978</v>
      </c>
      <c r="D88" s="220"/>
      <c r="E88" s="220"/>
      <c r="F88" s="220"/>
      <c r="G88" s="244" t="s">
        <v>1128</v>
      </c>
      <c r="H88" s="220"/>
    </row>
    <row r="89" spans="1:8" ht="12.75">
      <c r="A89" s="220"/>
      <c r="B89" s="221">
        <v>314</v>
      </c>
      <c r="C89" s="220" t="s">
        <v>979</v>
      </c>
      <c r="D89" s="220"/>
      <c r="E89" s="220"/>
      <c r="F89" s="220"/>
      <c r="G89" s="244" t="s">
        <v>1128</v>
      </c>
      <c r="H89" s="220"/>
    </row>
    <row r="90" spans="1:8" ht="12.75">
      <c r="A90" s="220"/>
      <c r="B90" s="221">
        <v>315</v>
      </c>
      <c r="C90" s="220" t="s">
        <v>980</v>
      </c>
      <c r="D90" s="220"/>
      <c r="E90" s="220"/>
      <c r="F90" s="220"/>
      <c r="G90" s="244" t="s">
        <v>1128</v>
      </c>
      <c r="H90" s="220"/>
    </row>
    <row r="91" spans="1:8" ht="12.75">
      <c r="A91" s="220"/>
      <c r="B91" s="221">
        <v>316</v>
      </c>
      <c r="C91" s="220" t="s">
        <v>981</v>
      </c>
      <c r="D91" s="220"/>
      <c r="E91" s="220"/>
      <c r="F91" s="220"/>
      <c r="G91" s="244" t="s">
        <v>1128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990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977</v>
      </c>
      <c r="D96" s="220"/>
      <c r="E96" s="220"/>
      <c r="F96" s="220"/>
      <c r="G96" s="244" t="s">
        <v>1128</v>
      </c>
      <c r="H96" s="220"/>
    </row>
    <row r="97" spans="1:9" ht="12.75">
      <c r="A97" s="220"/>
      <c r="B97" s="221">
        <v>312</v>
      </c>
      <c r="C97" s="220" t="s">
        <v>978</v>
      </c>
      <c r="D97" s="220"/>
      <c r="E97" s="220"/>
      <c r="F97" s="220"/>
      <c r="G97" s="244" t="s">
        <v>1128</v>
      </c>
      <c r="H97" s="220"/>
    </row>
    <row r="98" spans="1:9" ht="12.75">
      <c r="A98" s="220"/>
      <c r="B98" s="221">
        <v>315</v>
      </c>
      <c r="C98" s="220" t="s">
        <v>980</v>
      </c>
      <c r="D98" s="220"/>
      <c r="E98" s="220"/>
      <c r="F98" s="220"/>
      <c r="G98" s="244" t="s">
        <v>1128</v>
      </c>
      <c r="H98" s="220"/>
    </row>
    <row r="99" spans="1:9" ht="12.75">
      <c r="A99" s="220"/>
      <c r="B99" s="221">
        <v>316</v>
      </c>
      <c r="C99" s="220" t="s">
        <v>981</v>
      </c>
      <c r="D99" s="220"/>
      <c r="E99" s="220"/>
      <c r="F99" s="220"/>
      <c r="G99" s="244" t="s">
        <v>1128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972</v>
      </c>
    </row>
    <row r="102" spans="1:9" ht="12.75">
      <c r="A102" s="220"/>
      <c r="B102" s="221"/>
      <c r="C102" s="331" t="s">
        <v>814</v>
      </c>
      <c r="D102" s="333"/>
      <c r="E102" s="333"/>
      <c r="F102" s="333"/>
      <c r="G102" s="333"/>
      <c r="H102" s="220"/>
      <c r="I102" s="24" t="s">
        <v>973</v>
      </c>
    </row>
    <row r="103" spans="1:9" ht="12.75">
      <c r="A103" s="220"/>
      <c r="B103" s="221"/>
      <c r="C103" s="334" t="s">
        <v>811</v>
      </c>
      <c r="D103" s="334"/>
      <c r="E103" s="334"/>
      <c r="F103" s="334"/>
      <c r="G103" s="334"/>
      <c r="H103" s="220"/>
      <c r="I103" s="24" t="s">
        <v>1030</v>
      </c>
    </row>
    <row r="104" spans="1:9" ht="12.75">
      <c r="A104" s="220"/>
      <c r="B104" s="221"/>
      <c r="C104" s="19" t="s">
        <v>272</v>
      </c>
      <c r="D104" s="19" t="s">
        <v>1028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2" t="str">
        <f>+C5</f>
        <v>12 Months Ending 12/31/2010 (actuals)</v>
      </c>
      <c r="D105" s="333"/>
      <c r="E105" s="333"/>
      <c r="F105" s="333"/>
      <c r="G105" s="333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991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981</v>
      </c>
      <c r="D110" s="220"/>
      <c r="E110" s="220"/>
      <c r="F110" s="220"/>
      <c r="G110" s="245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992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981</v>
      </c>
      <c r="D115" s="220"/>
      <c r="E115" s="220"/>
      <c r="F115" s="220"/>
      <c r="G115" s="248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1129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0">
        <v>311</v>
      </c>
      <c r="C120" s="249" t="s">
        <v>977</v>
      </c>
      <c r="D120" s="249"/>
      <c r="E120" s="249"/>
      <c r="F120" s="249"/>
      <c r="G120" s="251">
        <v>3.3399999999999999E-2</v>
      </c>
      <c r="H120" s="220"/>
    </row>
    <row r="121" spans="1:8" ht="12.75">
      <c r="A121" s="220"/>
      <c r="B121" s="250">
        <v>312</v>
      </c>
      <c r="C121" s="249" t="s">
        <v>978</v>
      </c>
      <c r="D121" s="249"/>
      <c r="E121" s="249"/>
      <c r="F121" s="249"/>
      <c r="G121" s="251">
        <v>3.2399999999999998E-2</v>
      </c>
      <c r="H121" s="220"/>
    </row>
    <row r="122" spans="1:8" s="246" customFormat="1" ht="12.75">
      <c r="A122" s="247"/>
      <c r="B122" s="250">
        <v>315</v>
      </c>
      <c r="C122" s="249" t="s">
        <v>980</v>
      </c>
      <c r="D122" s="249"/>
      <c r="E122" s="249"/>
      <c r="F122" s="249"/>
      <c r="G122" s="251">
        <v>3.4099999999999998E-2</v>
      </c>
      <c r="H122" s="247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993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994</v>
      </c>
      <c r="B127" s="221">
        <v>331</v>
      </c>
      <c r="C127" s="220" t="s">
        <v>977</v>
      </c>
      <c r="D127" s="220"/>
      <c r="E127" s="220"/>
      <c r="F127" s="220"/>
      <c r="G127" s="252">
        <v>1.6500000000000001E-2</v>
      </c>
      <c r="H127" s="220"/>
    </row>
    <row r="128" spans="1:8" ht="12.75">
      <c r="A128" s="220"/>
      <c r="B128" s="221">
        <v>332</v>
      </c>
      <c r="C128" s="220" t="s">
        <v>995</v>
      </c>
      <c r="D128" s="220"/>
      <c r="E128" s="220"/>
      <c r="F128" s="220"/>
      <c r="G128" s="252">
        <v>1.0999999999999999E-2</v>
      </c>
      <c r="H128" s="220"/>
    </row>
    <row r="129" spans="1:8" ht="12.75">
      <c r="A129" s="220"/>
      <c r="B129" s="221">
        <v>333</v>
      </c>
      <c r="C129" s="220" t="s">
        <v>996</v>
      </c>
      <c r="D129" s="220"/>
      <c r="E129" s="220"/>
      <c r="F129" s="220"/>
      <c r="G129" s="252">
        <v>1.0800000000000001E-2</v>
      </c>
      <c r="H129" s="220"/>
    </row>
    <row r="130" spans="1:8" ht="12.75">
      <c r="A130" s="220"/>
      <c r="B130" s="221">
        <v>334</v>
      </c>
      <c r="C130" s="220" t="s">
        <v>997</v>
      </c>
      <c r="D130" s="220"/>
      <c r="E130" s="220"/>
      <c r="F130" s="220"/>
      <c r="G130" s="252">
        <v>2.1600000000000001E-2</v>
      </c>
      <c r="H130" s="220"/>
    </row>
    <row r="131" spans="1:8" ht="12.75">
      <c r="A131" s="220"/>
      <c r="B131" s="221">
        <v>335</v>
      </c>
      <c r="C131" s="220" t="s">
        <v>998</v>
      </c>
      <c r="D131" s="220"/>
      <c r="E131" s="220"/>
      <c r="F131" s="220"/>
      <c r="G131" s="252">
        <v>2.6100000000000002E-2</v>
      </c>
      <c r="H131" s="220"/>
    </row>
    <row r="132" spans="1:8" ht="12.75">
      <c r="A132" s="220"/>
      <c r="B132" s="221">
        <v>336</v>
      </c>
      <c r="C132" s="220" t="s">
        <v>999</v>
      </c>
      <c r="D132" s="220"/>
      <c r="E132" s="220"/>
      <c r="F132" s="220"/>
      <c r="G132" s="252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1000</v>
      </c>
      <c r="B135" s="221">
        <v>331</v>
      </c>
      <c r="C135" s="220" t="s">
        <v>977</v>
      </c>
      <c r="D135" s="220"/>
      <c r="E135" s="220"/>
      <c r="F135" s="220"/>
      <c r="G135" s="253">
        <v>5.5399999999999998E-2</v>
      </c>
      <c r="H135" s="220"/>
    </row>
    <row r="136" spans="1:8" ht="12.75">
      <c r="A136" s="220"/>
      <c r="B136" s="221">
        <v>332</v>
      </c>
      <c r="C136" s="220" t="s">
        <v>995</v>
      </c>
      <c r="D136" s="220"/>
      <c r="E136" s="220"/>
      <c r="F136" s="220"/>
      <c r="G136" s="253">
        <v>6.8199999999999997E-2</v>
      </c>
      <c r="H136" s="220"/>
    </row>
    <row r="137" spans="1:8" ht="12.75">
      <c r="A137" s="220"/>
      <c r="B137" s="221">
        <v>333</v>
      </c>
      <c r="C137" s="220" t="s">
        <v>996</v>
      </c>
      <c r="D137" s="220"/>
      <c r="E137" s="220"/>
      <c r="F137" s="220"/>
      <c r="G137" s="253">
        <v>5.9299999999999999E-2</v>
      </c>
      <c r="H137" s="220"/>
    </row>
    <row r="138" spans="1:8" ht="12.75">
      <c r="A138" s="220"/>
      <c r="B138" s="221">
        <v>334</v>
      </c>
      <c r="C138" s="220" t="s">
        <v>997</v>
      </c>
      <c r="D138" s="220"/>
      <c r="E138" s="220"/>
      <c r="F138" s="220"/>
      <c r="G138" s="253">
        <v>4.1399999999999999E-2</v>
      </c>
      <c r="H138" s="220"/>
    </row>
    <row r="139" spans="1:8" ht="12.75">
      <c r="A139" s="220"/>
      <c r="B139" s="221">
        <v>335</v>
      </c>
      <c r="C139" s="220" t="s">
        <v>998</v>
      </c>
      <c r="D139" s="220"/>
      <c r="E139" s="220"/>
      <c r="F139" s="220"/>
      <c r="G139" s="253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1001</v>
      </c>
      <c r="B142" s="221">
        <v>331</v>
      </c>
      <c r="C142" s="220" t="s">
        <v>977</v>
      </c>
      <c r="D142" s="220"/>
      <c r="E142" s="220"/>
      <c r="F142" s="220"/>
      <c r="G142" s="254">
        <v>4.4900000000000002E-2</v>
      </c>
      <c r="H142" s="220"/>
    </row>
    <row r="143" spans="1:8" ht="12.75">
      <c r="A143" s="220"/>
      <c r="B143" s="221">
        <v>332</v>
      </c>
      <c r="C143" s="220" t="s">
        <v>995</v>
      </c>
      <c r="D143" s="220"/>
      <c r="E143" s="220"/>
      <c r="F143" s="220"/>
      <c r="G143" s="254">
        <v>4.9399999999999999E-2</v>
      </c>
      <c r="H143" s="220"/>
    </row>
    <row r="144" spans="1:8" ht="12.75">
      <c r="A144" s="220"/>
      <c r="B144" s="221">
        <v>333</v>
      </c>
      <c r="C144" s="220" t="s">
        <v>996</v>
      </c>
      <c r="D144" s="220"/>
      <c r="E144" s="220"/>
      <c r="F144" s="220"/>
      <c r="G144" s="254">
        <v>4.1000000000000002E-2</v>
      </c>
      <c r="H144" s="220"/>
    </row>
    <row r="145" spans="1:9" ht="12.75">
      <c r="A145" s="220"/>
      <c r="B145" s="221">
        <v>334</v>
      </c>
      <c r="C145" s="220" t="s">
        <v>997</v>
      </c>
      <c r="D145" s="220"/>
      <c r="E145" s="220"/>
      <c r="F145" s="220"/>
      <c r="G145" s="254">
        <v>4.5999999999999999E-2</v>
      </c>
      <c r="H145" s="220"/>
    </row>
    <row r="146" spans="1:9" ht="12.75">
      <c r="A146" s="220"/>
      <c r="B146" s="221">
        <v>335</v>
      </c>
      <c r="C146" s="220" t="s">
        <v>998</v>
      </c>
      <c r="D146" s="220"/>
      <c r="E146" s="220"/>
      <c r="F146" s="220"/>
      <c r="G146" s="254">
        <v>5.8400000000000001E-2</v>
      </c>
      <c r="H146" s="220"/>
    </row>
    <row r="147" spans="1:9" ht="12.75">
      <c r="A147" s="220"/>
      <c r="B147" s="221">
        <v>336</v>
      </c>
      <c r="C147" s="220" t="s">
        <v>999</v>
      </c>
      <c r="D147" s="220"/>
      <c r="E147" s="220"/>
      <c r="F147" s="220"/>
      <c r="G147" s="254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972</v>
      </c>
    </row>
    <row r="150" spans="1:9" ht="12.75">
      <c r="A150" s="220"/>
      <c r="B150" s="221"/>
      <c r="C150" s="331" t="s">
        <v>814</v>
      </c>
      <c r="D150" s="333"/>
      <c r="E150" s="333"/>
      <c r="F150" s="333"/>
      <c r="G150" s="333"/>
      <c r="H150" s="220"/>
      <c r="I150" s="24" t="s">
        <v>973</v>
      </c>
    </row>
    <row r="151" spans="1:9" ht="12.75">
      <c r="A151" s="220"/>
      <c r="B151" s="221"/>
      <c r="C151" s="334" t="s">
        <v>811</v>
      </c>
      <c r="D151" s="334"/>
      <c r="E151" s="334"/>
      <c r="F151" s="334"/>
      <c r="G151" s="334"/>
      <c r="H151" s="220"/>
      <c r="I151" s="24" t="s">
        <v>1031</v>
      </c>
    </row>
    <row r="152" spans="1:9" ht="12.75">
      <c r="A152" s="220"/>
      <c r="B152" s="221"/>
      <c r="C152" s="19" t="s">
        <v>272</v>
      </c>
      <c r="D152" s="19" t="s">
        <v>1028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2" t="str">
        <f>+C5</f>
        <v>12 Months Ending 12/31/2010 (actuals)</v>
      </c>
      <c r="D153" s="333"/>
      <c r="E153" s="333"/>
      <c r="F153" s="333"/>
      <c r="G153" s="333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1002</v>
      </c>
      <c r="B156" s="221">
        <v>331</v>
      </c>
      <c r="C156" s="220" t="s">
        <v>977</v>
      </c>
      <c r="D156" s="220"/>
      <c r="E156" s="220"/>
      <c r="F156" s="220"/>
      <c r="G156" s="255">
        <v>2.58E-2</v>
      </c>
      <c r="H156" s="220"/>
    </row>
    <row r="157" spans="1:9" ht="12.75">
      <c r="A157" s="220"/>
      <c r="B157" s="221">
        <v>332</v>
      </c>
      <c r="C157" s="220" t="s">
        <v>995</v>
      </c>
      <c r="D157" s="220"/>
      <c r="E157" s="220"/>
      <c r="F157" s="220"/>
      <c r="G157" s="255">
        <v>5.0900000000000001E-2</v>
      </c>
      <c r="H157" s="220"/>
    </row>
    <row r="158" spans="1:9" ht="12.75">
      <c r="A158" s="220"/>
      <c r="B158" s="221">
        <v>333</v>
      </c>
      <c r="C158" s="220" t="s">
        <v>996</v>
      </c>
      <c r="D158" s="220"/>
      <c r="E158" s="220"/>
      <c r="F158" s="220"/>
      <c r="G158" s="255">
        <v>0.04</v>
      </c>
      <c r="H158" s="220"/>
    </row>
    <row r="159" spans="1:9" ht="12.75">
      <c r="A159" s="220"/>
      <c r="B159" s="221">
        <v>334</v>
      </c>
      <c r="C159" s="220" t="s">
        <v>997</v>
      </c>
      <c r="D159" s="220"/>
      <c r="E159" s="220"/>
      <c r="F159" s="220"/>
      <c r="G159" s="255">
        <v>4.8899999999999999E-2</v>
      </c>
      <c r="H159" s="220"/>
    </row>
    <row r="160" spans="1:9" ht="12.75">
      <c r="A160" s="220"/>
      <c r="B160" s="221">
        <v>335</v>
      </c>
      <c r="C160" s="220" t="s">
        <v>998</v>
      </c>
      <c r="D160" s="220"/>
      <c r="E160" s="220"/>
      <c r="F160" s="220"/>
      <c r="G160" s="255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1003</v>
      </c>
      <c r="B163" s="221">
        <v>331</v>
      </c>
      <c r="C163" s="220" t="s">
        <v>977</v>
      </c>
      <c r="D163" s="220"/>
      <c r="E163" s="220"/>
      <c r="F163" s="220"/>
      <c r="G163" s="256">
        <v>5.6599999999999998E-2</v>
      </c>
      <c r="H163" s="220"/>
    </row>
    <row r="164" spans="1:8" ht="12.75">
      <c r="A164" s="220"/>
      <c r="B164" s="221">
        <v>332</v>
      </c>
      <c r="C164" s="220" t="s">
        <v>995</v>
      </c>
      <c r="D164" s="220"/>
      <c r="E164" s="220"/>
      <c r="F164" s="220"/>
      <c r="G164" s="256">
        <v>5.7700000000000001E-2</v>
      </c>
      <c r="H164" s="220"/>
    </row>
    <row r="165" spans="1:8" ht="12.75">
      <c r="A165" s="220"/>
      <c r="B165" s="221">
        <v>333</v>
      </c>
      <c r="C165" s="220" t="s">
        <v>996</v>
      </c>
      <c r="D165" s="220"/>
      <c r="E165" s="220"/>
      <c r="F165" s="220"/>
      <c r="G165" s="256">
        <v>6.0400000000000002E-2</v>
      </c>
      <c r="H165" s="220"/>
    </row>
    <row r="166" spans="1:8" ht="12.75">
      <c r="A166" s="220"/>
      <c r="B166" s="221">
        <v>334</v>
      </c>
      <c r="C166" s="220" t="s">
        <v>997</v>
      </c>
      <c r="D166" s="220"/>
      <c r="E166" s="220"/>
      <c r="F166" s="220"/>
      <c r="G166" s="256">
        <v>5.04E-2</v>
      </c>
      <c r="H166" s="220"/>
    </row>
    <row r="167" spans="1:8" ht="12.75">
      <c r="A167" s="220"/>
      <c r="B167" s="221">
        <v>335</v>
      </c>
      <c r="C167" s="220" t="s">
        <v>998</v>
      </c>
      <c r="D167" s="220"/>
      <c r="E167" s="220"/>
      <c r="F167" s="220"/>
      <c r="G167" s="256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1004</v>
      </c>
      <c r="B170" s="221">
        <v>331</v>
      </c>
      <c r="C170" s="220" t="s">
        <v>977</v>
      </c>
      <c r="D170" s="220"/>
      <c r="E170" s="220"/>
      <c r="F170" s="220"/>
      <c r="G170" s="257">
        <v>1.04E-2</v>
      </c>
      <c r="H170" s="220"/>
    </row>
    <row r="171" spans="1:8" ht="12.75">
      <c r="A171" s="220"/>
      <c r="B171" s="221">
        <v>332</v>
      </c>
      <c r="C171" s="220" t="s">
        <v>995</v>
      </c>
      <c r="D171" s="220"/>
      <c r="E171" s="220"/>
      <c r="F171" s="220"/>
      <c r="G171" s="257">
        <v>1.66E-2</v>
      </c>
      <c r="H171" s="220"/>
    </row>
    <row r="172" spans="1:8" ht="12.75">
      <c r="A172" s="220"/>
      <c r="B172" s="221">
        <v>333</v>
      </c>
      <c r="C172" s="220" t="s">
        <v>996</v>
      </c>
      <c r="D172" s="220"/>
      <c r="E172" s="220"/>
      <c r="F172" s="220"/>
      <c r="G172" s="257">
        <v>1.3299999999999999E-2</v>
      </c>
      <c r="H172" s="220"/>
    </row>
    <row r="173" spans="1:8" ht="12.75">
      <c r="A173" s="220"/>
      <c r="B173" s="221">
        <v>334</v>
      </c>
      <c r="C173" s="220" t="s">
        <v>997</v>
      </c>
      <c r="D173" s="220"/>
      <c r="E173" s="220"/>
      <c r="F173" s="220"/>
      <c r="G173" s="257">
        <v>2.0899999999999998E-2</v>
      </c>
      <c r="H173" s="220"/>
    </row>
    <row r="174" spans="1:8" ht="12.75">
      <c r="A174" s="220"/>
      <c r="B174" s="221">
        <v>335</v>
      </c>
      <c r="C174" s="220" t="s">
        <v>998</v>
      </c>
      <c r="D174" s="220"/>
      <c r="E174" s="220"/>
      <c r="F174" s="220"/>
      <c r="G174" s="257">
        <v>2.12E-2</v>
      </c>
      <c r="H174" s="220"/>
    </row>
    <row r="175" spans="1:8" ht="12.75">
      <c r="A175" s="220"/>
      <c r="B175" s="221">
        <v>336</v>
      </c>
      <c r="C175" s="220" t="s">
        <v>999</v>
      </c>
      <c r="D175" s="220"/>
      <c r="E175" s="220"/>
      <c r="F175" s="220"/>
      <c r="G175" s="257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1005</v>
      </c>
      <c r="B178" s="221">
        <v>331</v>
      </c>
      <c r="C178" s="220" t="s">
        <v>977</v>
      </c>
      <c r="D178" s="220"/>
      <c r="E178" s="220"/>
      <c r="F178" s="220"/>
      <c r="G178" s="258">
        <v>2.6100000000000002E-2</v>
      </c>
      <c r="H178" s="220"/>
    </row>
    <row r="179" spans="1:8" ht="12.75">
      <c r="A179" s="220"/>
      <c r="B179" s="221">
        <v>332</v>
      </c>
      <c r="C179" s="220" t="s">
        <v>995</v>
      </c>
      <c r="D179" s="220"/>
      <c r="E179" s="220"/>
      <c r="F179" s="220"/>
      <c r="G179" s="258">
        <v>2.4E-2</v>
      </c>
      <c r="H179" s="220"/>
    </row>
    <row r="180" spans="1:8" ht="12.75">
      <c r="A180" s="220"/>
      <c r="B180" s="221">
        <v>333</v>
      </c>
      <c r="C180" s="220" t="s">
        <v>996</v>
      </c>
      <c r="D180" s="220"/>
      <c r="E180" s="220"/>
      <c r="F180" s="220"/>
      <c r="G180" s="258">
        <v>2.7199999999999998E-2</v>
      </c>
      <c r="H180" s="220"/>
    </row>
    <row r="181" spans="1:8" ht="12.75">
      <c r="A181" s="220"/>
      <c r="B181" s="221">
        <v>334</v>
      </c>
      <c r="C181" s="220" t="s">
        <v>997</v>
      </c>
      <c r="D181" s="220"/>
      <c r="E181" s="220"/>
      <c r="F181" s="220"/>
      <c r="G181" s="258">
        <v>2.5899999999999999E-2</v>
      </c>
      <c r="H181" s="220"/>
    </row>
    <row r="182" spans="1:8" ht="12.75">
      <c r="A182" s="220"/>
      <c r="B182" s="221">
        <v>335</v>
      </c>
      <c r="C182" s="220" t="s">
        <v>998</v>
      </c>
      <c r="D182" s="220"/>
      <c r="E182" s="220"/>
      <c r="F182" s="220"/>
      <c r="G182" s="258">
        <v>2.8000000000000001E-2</v>
      </c>
      <c r="H182" s="220"/>
    </row>
    <row r="183" spans="1:8" ht="12.75">
      <c r="A183" s="220"/>
      <c r="B183" s="221">
        <v>336</v>
      </c>
      <c r="C183" s="220" t="s">
        <v>999</v>
      </c>
      <c r="D183" s="220"/>
      <c r="E183" s="220"/>
      <c r="F183" s="220"/>
      <c r="G183" s="258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1006</v>
      </c>
      <c r="B186" s="221">
        <v>331</v>
      </c>
      <c r="C186" s="220" t="s">
        <v>977</v>
      </c>
      <c r="D186" s="220"/>
      <c r="E186" s="220"/>
      <c r="F186" s="220"/>
      <c r="G186" s="259">
        <v>2.0799999999999999E-2</v>
      </c>
      <c r="H186" s="220"/>
    </row>
    <row r="187" spans="1:8" ht="12.75">
      <c r="A187" s="220"/>
      <c r="B187" s="221">
        <v>332</v>
      </c>
      <c r="C187" s="220" t="s">
        <v>995</v>
      </c>
      <c r="D187" s="220"/>
      <c r="E187" s="220"/>
      <c r="F187" s="220"/>
      <c r="G187" s="259">
        <v>2.7300000000000001E-2</v>
      </c>
      <c r="H187" s="220"/>
    </row>
    <row r="188" spans="1:8" ht="12.75">
      <c r="A188" s="220"/>
      <c r="B188" s="221">
        <v>333</v>
      </c>
      <c r="C188" s="220" t="s">
        <v>996</v>
      </c>
      <c r="D188" s="220"/>
      <c r="E188" s="220"/>
      <c r="F188" s="220"/>
      <c r="G188" s="259">
        <v>2.8400000000000002E-2</v>
      </c>
      <c r="H188" s="220"/>
    </row>
    <row r="189" spans="1:8" ht="12.75">
      <c r="A189" s="220"/>
      <c r="B189" s="221">
        <v>334</v>
      </c>
      <c r="C189" s="220" t="s">
        <v>997</v>
      </c>
      <c r="D189" s="220"/>
      <c r="E189" s="220"/>
      <c r="F189" s="220"/>
      <c r="G189" s="259">
        <v>2.6200000000000001E-2</v>
      </c>
      <c r="H189" s="220"/>
    </row>
    <row r="190" spans="1:8" ht="12.75">
      <c r="A190" s="220"/>
      <c r="B190" s="221">
        <v>335</v>
      </c>
      <c r="C190" s="220" t="s">
        <v>998</v>
      </c>
      <c r="D190" s="220"/>
      <c r="E190" s="220"/>
      <c r="F190" s="220"/>
      <c r="G190" s="259">
        <v>2.7300000000000001E-2</v>
      </c>
      <c r="H190" s="220"/>
    </row>
    <row r="191" spans="1:8" ht="12.75">
      <c r="A191" s="220"/>
      <c r="B191" s="221">
        <v>336</v>
      </c>
      <c r="C191" s="220" t="s">
        <v>999</v>
      </c>
      <c r="D191" s="220"/>
      <c r="E191" s="220"/>
      <c r="F191" s="220"/>
      <c r="G191" s="259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972</v>
      </c>
    </row>
    <row r="194" spans="1:9" ht="12.75">
      <c r="A194" s="220"/>
      <c r="B194" s="221"/>
      <c r="C194" s="331" t="s">
        <v>814</v>
      </c>
      <c r="D194" s="333"/>
      <c r="E194" s="333"/>
      <c r="F194" s="333"/>
      <c r="G194" s="333"/>
      <c r="H194" s="220"/>
      <c r="I194" s="24" t="s">
        <v>973</v>
      </c>
    </row>
    <row r="195" spans="1:9" ht="12.75">
      <c r="A195" s="220"/>
      <c r="B195" s="221"/>
      <c r="C195" s="334" t="s">
        <v>811</v>
      </c>
      <c r="D195" s="334"/>
      <c r="E195" s="334"/>
      <c r="F195" s="334"/>
      <c r="G195" s="334"/>
      <c r="H195" s="220"/>
      <c r="I195" s="24" t="s">
        <v>1032</v>
      </c>
    </row>
    <row r="196" spans="1:9" ht="12.75">
      <c r="A196" s="220"/>
      <c r="B196" s="221"/>
      <c r="C196" s="19" t="s">
        <v>272</v>
      </c>
      <c r="D196" s="19" t="s">
        <v>1028</v>
      </c>
      <c r="E196" s="19"/>
      <c r="F196" s="19"/>
      <c r="G196" s="19"/>
      <c r="H196" s="220"/>
    </row>
    <row r="197" spans="1:9" ht="12.75">
      <c r="A197" s="220"/>
      <c r="B197" s="220"/>
      <c r="C197" s="332" t="str">
        <f>+C5</f>
        <v>12 Months Ending 12/31/2010 (actuals)</v>
      </c>
      <c r="D197" s="333"/>
      <c r="E197" s="333"/>
      <c r="F197" s="333"/>
      <c r="G197" s="333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1007</v>
      </c>
      <c r="B200" s="221">
        <v>331</v>
      </c>
      <c r="C200" s="220" t="s">
        <v>977</v>
      </c>
      <c r="D200" s="220"/>
      <c r="E200" s="220"/>
      <c r="F200" s="220"/>
      <c r="G200" s="261">
        <v>2.3199999999999998E-2</v>
      </c>
      <c r="H200" s="220"/>
    </row>
    <row r="201" spans="1:9" ht="12.75">
      <c r="A201" s="220"/>
      <c r="B201" s="221">
        <v>332</v>
      </c>
      <c r="C201" s="220" t="s">
        <v>995</v>
      </c>
      <c r="D201" s="220"/>
      <c r="E201" s="220"/>
      <c r="F201" s="220"/>
      <c r="G201" s="261">
        <v>2.1399999999999999E-2</v>
      </c>
      <c r="H201" s="220"/>
    </row>
    <row r="202" spans="1:9" ht="12.75">
      <c r="A202" s="220"/>
      <c r="B202" s="221">
        <v>333</v>
      </c>
      <c r="C202" s="220" t="s">
        <v>996</v>
      </c>
      <c r="D202" s="220"/>
      <c r="E202" s="220"/>
      <c r="F202" s="220"/>
      <c r="G202" s="261">
        <v>2.46E-2</v>
      </c>
      <c r="H202" s="220"/>
    </row>
    <row r="203" spans="1:9" ht="12.75">
      <c r="A203" s="220"/>
      <c r="B203" s="221">
        <v>334</v>
      </c>
      <c r="C203" s="220" t="s">
        <v>997</v>
      </c>
      <c r="D203" s="220"/>
      <c r="E203" s="220"/>
      <c r="F203" s="220"/>
      <c r="G203" s="261">
        <v>2.4E-2</v>
      </c>
      <c r="H203" s="220"/>
    </row>
    <row r="204" spans="1:9" ht="12.75">
      <c r="A204" s="220"/>
      <c r="B204" s="221">
        <v>335</v>
      </c>
      <c r="C204" s="220" t="s">
        <v>998</v>
      </c>
      <c r="D204" s="220"/>
      <c r="E204" s="220"/>
      <c r="F204" s="220"/>
      <c r="G204" s="261">
        <v>2.2599999999999999E-2</v>
      </c>
      <c r="H204" s="220"/>
    </row>
    <row r="205" spans="1:9" ht="12.75">
      <c r="A205" s="220"/>
      <c r="B205" s="221">
        <v>336</v>
      </c>
      <c r="C205" s="220" t="s">
        <v>999</v>
      </c>
      <c r="D205" s="220"/>
      <c r="E205" s="220"/>
      <c r="F205" s="220"/>
      <c r="G205" s="261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0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1008</v>
      </c>
      <c r="B208" s="221">
        <v>331</v>
      </c>
      <c r="C208" s="220" t="s">
        <v>977</v>
      </c>
      <c r="D208" s="220"/>
      <c r="E208" s="220"/>
      <c r="F208" s="220"/>
      <c r="G208" s="262">
        <v>1.3100000000000001E-2</v>
      </c>
      <c r="H208" s="220"/>
    </row>
    <row r="209" spans="1:8" ht="12.75">
      <c r="A209" s="220"/>
      <c r="B209" s="221">
        <v>332</v>
      </c>
      <c r="C209" s="220" t="s">
        <v>995</v>
      </c>
      <c r="D209" s="220"/>
      <c r="E209" s="220"/>
      <c r="F209" s="220"/>
      <c r="G209" s="262">
        <v>1.2200000000000001E-2</v>
      </c>
      <c r="H209" s="220"/>
    </row>
    <row r="210" spans="1:8" ht="12.75">
      <c r="A210" s="220"/>
      <c r="B210" s="221">
        <v>333</v>
      </c>
      <c r="C210" s="220" t="s">
        <v>996</v>
      </c>
      <c r="D210" s="220"/>
      <c r="E210" s="220"/>
      <c r="F210" s="220"/>
      <c r="G210" s="262">
        <v>2.24E-2</v>
      </c>
      <c r="H210" s="220"/>
    </row>
    <row r="211" spans="1:8" ht="12.75">
      <c r="A211" s="220"/>
      <c r="B211" s="221">
        <v>334</v>
      </c>
      <c r="C211" s="220" t="s">
        <v>997</v>
      </c>
      <c r="D211" s="220"/>
      <c r="E211" s="220"/>
      <c r="F211" s="220"/>
      <c r="G211" s="262">
        <v>2.4500000000000001E-2</v>
      </c>
      <c r="H211" s="220"/>
    </row>
    <row r="212" spans="1:8" ht="12.75">
      <c r="A212" s="220"/>
      <c r="B212" s="221">
        <v>335</v>
      </c>
      <c r="C212" s="220" t="s">
        <v>998</v>
      </c>
      <c r="D212" s="220"/>
      <c r="E212" s="220"/>
      <c r="F212" s="220"/>
      <c r="G212" s="262">
        <v>2.6700000000000002E-2</v>
      </c>
      <c r="H212" s="220"/>
    </row>
    <row r="213" spans="1:8" ht="12.75">
      <c r="A213" s="220"/>
      <c r="B213" s="221">
        <v>336</v>
      </c>
      <c r="C213" s="220" t="s">
        <v>999</v>
      </c>
      <c r="D213" s="220"/>
      <c r="E213" s="220"/>
      <c r="F213" s="220"/>
      <c r="G213" s="262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1009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1010</v>
      </c>
      <c r="B218" s="221">
        <v>341</v>
      </c>
      <c r="C218" s="220" t="s">
        <v>977</v>
      </c>
      <c r="D218" s="220"/>
      <c r="E218" s="220"/>
      <c r="F218" s="220"/>
      <c r="G218" s="267">
        <v>1.3299999999999999E-2</v>
      </c>
      <c r="H218" s="220"/>
    </row>
    <row r="219" spans="1:8" ht="12.75">
      <c r="A219" s="220"/>
      <c r="B219" s="221">
        <v>344</v>
      </c>
      <c r="C219" s="220" t="s">
        <v>1011</v>
      </c>
      <c r="D219" s="220"/>
      <c r="E219" s="220"/>
      <c r="F219" s="220"/>
      <c r="G219" s="267">
        <v>1.44E-2</v>
      </c>
      <c r="H219" s="220"/>
    </row>
    <row r="220" spans="1:8" ht="12.75">
      <c r="A220" s="220"/>
      <c r="B220" s="221">
        <v>345</v>
      </c>
      <c r="C220" s="220" t="s">
        <v>1012</v>
      </c>
      <c r="D220" s="220"/>
      <c r="E220" s="220"/>
      <c r="F220" s="220"/>
      <c r="G220" s="267">
        <v>1.35E-2</v>
      </c>
      <c r="H220" s="220"/>
    </row>
    <row r="221" spans="1:8" ht="12.75">
      <c r="A221" s="220"/>
      <c r="B221" s="221">
        <v>346</v>
      </c>
      <c r="C221" s="220" t="s">
        <v>1013</v>
      </c>
      <c r="D221" s="220"/>
      <c r="E221" s="220"/>
      <c r="F221" s="220"/>
      <c r="G221" s="267">
        <v>2.8400000000000002E-2</v>
      </c>
      <c r="H221" s="220"/>
    </row>
    <row r="222" spans="1:8" s="263" customFormat="1" ht="12.75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 ht="12.75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 ht="12.75">
      <c r="A224" s="270" t="s">
        <v>1131</v>
      </c>
      <c r="B224" s="271">
        <v>341</v>
      </c>
      <c r="C224" s="270" t="s">
        <v>977</v>
      </c>
      <c r="D224" s="270"/>
      <c r="E224" s="270"/>
      <c r="F224" s="270"/>
      <c r="G224" s="273">
        <v>2.87E-2</v>
      </c>
      <c r="H224" s="264"/>
    </row>
    <row r="225" spans="1:9" s="263" customFormat="1" ht="12.75">
      <c r="A225" s="270"/>
      <c r="B225" s="271">
        <v>342</v>
      </c>
      <c r="C225" s="270" t="s">
        <v>1132</v>
      </c>
      <c r="D225" s="270"/>
      <c r="E225" s="270"/>
      <c r="F225" s="270"/>
      <c r="G225" s="273">
        <v>2.8799999999999999E-2</v>
      </c>
      <c r="H225" s="264"/>
    </row>
    <row r="226" spans="1:9" s="263" customFormat="1" ht="12.75">
      <c r="A226" s="270"/>
      <c r="B226" s="271">
        <v>344</v>
      </c>
      <c r="C226" s="270" t="s">
        <v>1011</v>
      </c>
      <c r="D226" s="270"/>
      <c r="E226" s="270"/>
      <c r="F226" s="270"/>
      <c r="G226" s="273">
        <v>2.87E-2</v>
      </c>
      <c r="H226" s="264"/>
    </row>
    <row r="227" spans="1:9" s="263" customFormat="1" ht="12.75">
      <c r="A227" s="270"/>
      <c r="B227" s="271">
        <v>345</v>
      </c>
      <c r="C227" s="270" t="s">
        <v>1012</v>
      </c>
      <c r="D227" s="270"/>
      <c r="E227" s="270"/>
      <c r="F227" s="270"/>
      <c r="G227" s="273">
        <v>2.8899999999999999E-2</v>
      </c>
      <c r="H227" s="264"/>
    </row>
    <row r="228" spans="1:9" ht="12.75">
      <c r="A228" s="270"/>
      <c r="B228" s="271">
        <v>346</v>
      </c>
      <c r="C228" s="270" t="s">
        <v>1013</v>
      </c>
      <c r="D228" s="270"/>
      <c r="E228" s="270"/>
      <c r="F228" s="270"/>
      <c r="G228" s="273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972</v>
      </c>
    </row>
    <row r="232" spans="1:9" ht="12.75">
      <c r="A232" s="220"/>
      <c r="B232" s="221"/>
      <c r="C232" s="331" t="s">
        <v>814</v>
      </c>
      <c r="D232" s="333"/>
      <c r="E232" s="333"/>
      <c r="F232" s="333"/>
      <c r="G232" s="333"/>
      <c r="H232" s="220"/>
      <c r="I232" s="24" t="s">
        <v>973</v>
      </c>
    </row>
    <row r="233" spans="1:9" ht="12.75">
      <c r="A233" s="220"/>
      <c r="B233" s="221"/>
      <c r="C233" s="334" t="s">
        <v>811</v>
      </c>
      <c r="D233" s="334"/>
      <c r="E233" s="334"/>
      <c r="F233" s="334"/>
      <c r="G233" s="334"/>
      <c r="H233" s="220"/>
      <c r="I233" s="24" t="s">
        <v>1033</v>
      </c>
    </row>
    <row r="234" spans="1:9" ht="12.75">
      <c r="A234" s="220"/>
      <c r="B234" s="221"/>
      <c r="C234" s="19" t="s">
        <v>272</v>
      </c>
      <c r="D234" s="19" t="s">
        <v>1028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2" t="str">
        <f>+C5</f>
        <v>12 Months Ending 12/31/2010 (actuals)</v>
      </c>
      <c r="D235" s="333"/>
      <c r="E235" s="333"/>
      <c r="F235" s="333"/>
      <c r="G235" s="333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1014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977</v>
      </c>
      <c r="D238" s="220"/>
      <c r="E238" s="220"/>
      <c r="F238" s="220"/>
      <c r="G238" s="266">
        <v>1.5100000000000001E-2</v>
      </c>
      <c r="H238" s="220"/>
    </row>
    <row r="239" spans="1:9" ht="12.75">
      <c r="A239" s="220"/>
      <c r="B239" s="221">
        <v>391</v>
      </c>
      <c r="C239" s="220" t="s">
        <v>1015</v>
      </c>
      <c r="D239" s="220"/>
      <c r="E239" s="220"/>
      <c r="F239" s="220"/>
      <c r="G239" s="266">
        <v>2.8899999999999999E-2</v>
      </c>
      <c r="H239" s="220"/>
    </row>
    <row r="240" spans="1:9" ht="12.75">
      <c r="A240" s="220"/>
      <c r="B240" s="221">
        <v>392</v>
      </c>
      <c r="C240" s="220" t="s">
        <v>1016</v>
      </c>
      <c r="D240" s="220"/>
      <c r="E240" s="220"/>
      <c r="F240" s="220"/>
      <c r="G240" s="266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 ht="12.75">
      <c r="A242" s="220"/>
      <c r="B242" s="221">
        <v>394</v>
      </c>
      <c r="C242" s="220" t="s">
        <v>1017</v>
      </c>
      <c r="D242" s="220"/>
      <c r="E242" s="220"/>
      <c r="F242" s="220"/>
      <c r="G242" s="266">
        <v>2.3599999999999999E-2</v>
      </c>
      <c r="H242" s="220"/>
    </row>
    <row r="243" spans="1:8" ht="12.75">
      <c r="A243" s="220"/>
      <c r="B243" s="221">
        <v>395</v>
      </c>
      <c r="C243" s="220" t="s">
        <v>1018</v>
      </c>
      <c r="D243" s="220"/>
      <c r="E243" s="220"/>
      <c r="F243" s="220"/>
      <c r="G243" s="266">
        <v>2.6499999999999999E-2</v>
      </c>
      <c r="H243" s="220"/>
    </row>
    <row r="244" spans="1:8" ht="12.75">
      <c r="A244" s="220"/>
      <c r="B244" s="221">
        <v>396</v>
      </c>
      <c r="C244" s="220" t="s">
        <v>1019</v>
      </c>
      <c r="D244" s="220"/>
      <c r="E244" s="220"/>
      <c r="F244" s="220"/>
      <c r="G244" s="266">
        <v>1.9099999999999999E-2</v>
      </c>
      <c r="H244" s="220"/>
    </row>
    <row r="245" spans="1:8" ht="12.75">
      <c r="A245" s="220"/>
      <c r="B245" s="221">
        <v>397</v>
      </c>
      <c r="C245" s="220" t="s">
        <v>1020</v>
      </c>
      <c r="D245" s="220"/>
      <c r="E245" s="220"/>
      <c r="F245" s="220"/>
      <c r="G245" s="266">
        <v>4.0599999999999997E-2</v>
      </c>
      <c r="H245" s="220"/>
    </row>
    <row r="246" spans="1:8" ht="12.75">
      <c r="A246" s="220"/>
      <c r="B246" s="221">
        <v>398</v>
      </c>
      <c r="C246" s="220" t="s">
        <v>1021</v>
      </c>
      <c r="D246" s="220"/>
      <c r="E246" s="220"/>
      <c r="F246" s="220"/>
      <c r="G246" s="266">
        <v>2.6200000000000001E-2</v>
      </c>
      <c r="H246" s="220"/>
    </row>
    <row r="247" spans="1:8" s="269" customFormat="1" ht="12.75">
      <c r="A247" s="270"/>
      <c r="B247" s="271"/>
      <c r="C247" s="270"/>
      <c r="D247" s="270"/>
      <c r="E247" s="270"/>
      <c r="F247" s="270"/>
      <c r="G247" s="272"/>
      <c r="H247" s="270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1022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1023</v>
      </c>
      <c r="D250" s="220"/>
      <c r="E250" s="220"/>
      <c r="F250" s="220"/>
      <c r="G250" s="268">
        <v>0</v>
      </c>
      <c r="H250" s="220"/>
    </row>
    <row r="251" spans="1:8" ht="12.75">
      <c r="A251" s="220"/>
      <c r="B251" s="221">
        <v>302</v>
      </c>
      <c r="C251" s="220" t="s">
        <v>1024</v>
      </c>
      <c r="D251" s="220"/>
      <c r="E251" s="220"/>
      <c r="F251" s="220"/>
      <c r="G251" s="268" t="s">
        <v>1130</v>
      </c>
      <c r="H251" s="220"/>
    </row>
    <row r="252" spans="1:8" ht="12.75">
      <c r="A252" s="220"/>
      <c r="B252" s="221">
        <v>303</v>
      </c>
      <c r="C252" s="220" t="s">
        <v>1025</v>
      </c>
      <c r="D252" s="220"/>
      <c r="E252" s="220"/>
      <c r="F252" s="220"/>
      <c r="G252" s="268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55:G55"/>
    <mergeCell ref="C2:G2"/>
    <mergeCell ref="C3:G3"/>
    <mergeCell ref="C5:G5"/>
    <mergeCell ref="C52:G52"/>
    <mergeCell ref="C53:G53"/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I33"/>
  <sheetViews>
    <sheetView zoomScaleNormal="100" workbookViewId="0">
      <selection activeCell="B43" sqref="B43"/>
    </sheetView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972</v>
      </c>
      <c r="G1" s="2" t="s">
        <v>411</v>
      </c>
      <c r="H1" s="3"/>
      <c r="I1" s="3"/>
      <c r="J1" s="3"/>
      <c r="K1" s="3"/>
      <c r="L1" s="18" t="s">
        <v>972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835</v>
      </c>
      <c r="H2" s="3"/>
      <c r="I2" s="3"/>
      <c r="J2" s="3"/>
      <c r="K2" s="3"/>
      <c r="L2" s="18" t="s">
        <v>24</v>
      </c>
    </row>
    <row r="3" spans="1:35" ht="12.75">
      <c r="A3" s="331" t="s">
        <v>814</v>
      </c>
      <c r="B3" s="333"/>
      <c r="C3" s="333"/>
      <c r="D3" s="333"/>
      <c r="E3" s="333"/>
      <c r="F3" s="3"/>
      <c r="G3" s="30" t="str">
        <f>INPUT!$B$2</f>
        <v>12 Months Ending 12/31/2023 (actuals) for 2024</v>
      </c>
      <c r="I3" s="3"/>
      <c r="K3" s="3"/>
      <c r="L3" s="3"/>
    </row>
    <row r="4" spans="1:35" ht="12.75">
      <c r="A4" s="334" t="s">
        <v>811</v>
      </c>
      <c r="B4" s="334"/>
      <c r="C4" s="334"/>
      <c r="D4" s="334"/>
      <c r="E4" s="334"/>
      <c r="F4" s="3"/>
      <c r="H4" s="3"/>
      <c r="I4" s="3"/>
      <c r="J4" s="3"/>
      <c r="K4" s="3"/>
      <c r="L4" s="3"/>
    </row>
    <row r="5" spans="1:35" ht="12.75">
      <c r="A5" s="332" t="s">
        <v>1173</v>
      </c>
      <c r="B5" s="333"/>
      <c r="C5" s="333"/>
      <c r="D5" s="333"/>
      <c r="E5" s="333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35" t="s">
        <v>716</v>
      </c>
      <c r="I8" s="340" t="s">
        <v>190</v>
      </c>
      <c r="J8" s="340"/>
      <c r="K8" s="340"/>
      <c r="L8" s="340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35"/>
      <c r="I9" s="336" t="s">
        <v>836</v>
      </c>
      <c r="J9" s="336"/>
      <c r="K9" s="336"/>
      <c r="L9" s="336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7">
        <f>'B3-B4'!D50</f>
        <v>791106262.7902317</v>
      </c>
      <c r="J12" s="337"/>
      <c r="K12" s="335" t="s">
        <v>378</v>
      </c>
      <c r="L12" s="338">
        <f>(I12/I13)/365</f>
        <v>464.74138958410157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4663.7</v>
      </c>
      <c r="J13" s="5" t="s">
        <v>701</v>
      </c>
      <c r="K13" s="335"/>
      <c r="L13" s="339"/>
    </row>
    <row r="14" spans="1:35" ht="12.75">
      <c r="A14" s="2" t="s">
        <v>20</v>
      </c>
      <c r="B14" s="3"/>
      <c r="C14" s="61">
        <f>L12</f>
        <v>464.74138958410157</v>
      </c>
      <c r="D14" s="14">
        <f>INPUT!C8</f>
        <v>4663.7</v>
      </c>
      <c r="E14" s="39">
        <f>ROUND(+C14*D14,2)</f>
        <v>2167414.42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964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862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863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2"/>
      <c r="J25" s="332"/>
    </row>
    <row r="26" spans="1:12" ht="12.75">
      <c r="B26" s="2"/>
      <c r="F26" s="3"/>
      <c r="I26" s="332"/>
      <c r="J26" s="332"/>
    </row>
    <row r="27" spans="1:12" ht="12.75">
      <c r="B27" s="2"/>
      <c r="F27" s="3"/>
      <c r="I27" s="332"/>
      <c r="J27" s="332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K12:K13"/>
    <mergeCell ref="I9:L9"/>
    <mergeCell ref="H8:H9"/>
    <mergeCell ref="I12:J12"/>
    <mergeCell ref="L12:L13"/>
    <mergeCell ref="I8:L8"/>
    <mergeCell ref="I26:J26"/>
    <mergeCell ref="I27:J27"/>
    <mergeCell ref="A3:E3"/>
    <mergeCell ref="A4:E4"/>
    <mergeCell ref="A5:E5"/>
    <mergeCell ref="I25:J25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I56"/>
  <sheetViews>
    <sheetView view="pageBreakPreview" topLeftCell="A10" zoomScale="80" zoomScaleNormal="100" zoomScaleSheetLayoutView="80" workbookViewId="0">
      <selection activeCell="D38" sqref="D38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3" width="10.375" style="37" customWidth="1"/>
    <col min="54" max="54" width="9" style="37"/>
    <col min="55" max="55" width="6.625" style="37" customWidth="1"/>
    <col min="56" max="56" width="15" style="37" customWidth="1"/>
    <col min="57" max="57" width="7.375" style="37" customWidth="1"/>
    <col min="58" max="58" width="12.875" style="37" customWidth="1"/>
    <col min="59" max="59" width="9.375" style="37" customWidth="1"/>
    <col min="60" max="60" width="7.37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37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375" style="37" customWidth="1"/>
    <col min="74" max="74" width="11.37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37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37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1100</v>
      </c>
      <c r="B1"/>
      <c r="C1" s="52"/>
      <c r="D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12/31/2023 (actuals) for 2024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79815563.070000008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4710200340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1.6945258653265693E-2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102977731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1744984.2873214169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2173099168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3.6728909681309124E-2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2047700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75209.788354416698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847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972</v>
      </c>
      <c r="E29" s="47"/>
      <c r="V29" s="2"/>
      <c r="AD29" s="2"/>
    </row>
    <row r="30" spans="1:30" ht="12.75">
      <c r="A30" s="30" t="str">
        <f>INPUT!$B$2</f>
        <v>12 Months Ending 12/31/2023 (actuals) for 2024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838</v>
      </c>
      <c r="D36" s="38">
        <f>'B5'!E38</f>
        <v>217017755.32251701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226514830.21035028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1034</v>
      </c>
      <c r="D40" s="38">
        <f>'B16'!D26</f>
        <v>216939373.28732142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91116301.363010019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44447959.869532928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961</v>
      </c>
      <c r="C46" s="2" t="s">
        <v>383</v>
      </c>
      <c r="D46" s="38">
        <f>+INPUT!C12</f>
        <v>4929957.2624999993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962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963</v>
      </c>
      <c r="D50" s="38">
        <f>SUM(D36:D45)-(D46-D48)</f>
        <v>791106262.7902317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968</v>
      </c>
    </row>
    <row r="54" spans="1:22" ht="12.75">
      <c r="A54" s="3" t="s">
        <v>609</v>
      </c>
      <c r="B54" s="3" t="s">
        <v>969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970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971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I45"/>
  <sheetViews>
    <sheetView zoomScaleNormal="100" workbookViewId="0">
      <selection activeCell="D11" sqref="D11"/>
    </sheetView>
  </sheetViews>
  <sheetFormatPr defaultColWidth="9" defaultRowHeight="12"/>
  <cols>
    <col min="1" max="1" width="5.875" style="37" customWidth="1"/>
    <col min="2" max="2" width="26.375" style="37" customWidth="1"/>
    <col min="3" max="3" width="18.75" style="37" customWidth="1"/>
    <col min="4" max="4" width="13.75" style="37" customWidth="1"/>
    <col min="5" max="6" width="12.37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12/31/2023 (actuals) for 2024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6952724809.649457</v>
      </c>
      <c r="E10" s="14">
        <f>'B6'!G16</f>
        <v>6932124348.0699997</v>
      </c>
      <c r="F10" s="14">
        <f>'B6'!H16</f>
        <v>20600461.579457328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3419377376.0080686</v>
      </c>
      <c r="E11" s="14">
        <f>'B6'!G29</f>
        <v>3413013102.79</v>
      </c>
      <c r="F11" s="14">
        <f>'B6'!H29</f>
        <v>6364273.2180685103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3533347433.6413884</v>
      </c>
      <c r="E13" s="14">
        <f>E10-E11</f>
        <v>3519111245.2799997</v>
      </c>
      <c r="F13" s="14">
        <f>F10-F11</f>
        <v>14236188.361388817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1039</v>
      </c>
      <c r="D15" s="14">
        <f>'B6'!F31</f>
        <v>928667575.57999992</v>
      </c>
      <c r="E15" s="14">
        <f>'B6'!G31</f>
        <v>744711922.66999996</v>
      </c>
      <c r="F15" s="14">
        <f>'B6'!H31</f>
        <v>183955652.90999997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1064</v>
      </c>
      <c r="D17" s="51">
        <f>INPUT!C13</f>
        <v>401556.66000000003</v>
      </c>
      <c r="E17" s="51">
        <f>INPUT!C14</f>
        <v>401556.66000000003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839</v>
      </c>
      <c r="D19" s="14">
        <f>D13-D15+D17</f>
        <v>2605081414.7213883</v>
      </c>
      <c r="E19" s="14">
        <f>E13-E15+E17</f>
        <v>2774800879.2699995</v>
      </c>
      <c r="F19" s="14">
        <f>F13-F15+F17</f>
        <v>-169719464.54861116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315017435.19699997</v>
      </c>
      <c r="E24" s="14">
        <f>'B8-B10'!L9</f>
        <v>0</v>
      </c>
      <c r="F24" s="14">
        <f>'B8-B10'!M9</f>
        <v>315017435.19699997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84001332.030999988</v>
      </c>
      <c r="E25" s="14">
        <f>'B8-B10'!L18</f>
        <v>84001332.030999988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399018767.22799993</v>
      </c>
      <c r="E26" s="14">
        <f>E24+E25</f>
        <v>84001332.030999988</v>
      </c>
      <c r="F26" s="14">
        <f>F24+F25</f>
        <v>315017435.19699997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840</v>
      </c>
      <c r="C28" s="3"/>
      <c r="D28" s="3">
        <f>INPUT!$C$18*'B6'!F20</f>
        <v>2999297.2207222674</v>
      </c>
      <c r="E28" s="3">
        <f>INPUT!$C$18*'B6'!G20</f>
        <v>2990410.5022186451</v>
      </c>
      <c r="F28" s="3">
        <f>INPUT!$C$18*'B6'!H20</f>
        <v>8886.7185036227347</v>
      </c>
    </row>
    <row r="29" spans="1:6" ht="12.75">
      <c r="A29" s="4" t="s">
        <v>395</v>
      </c>
      <c r="B29" s="4" t="s">
        <v>841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842</v>
      </c>
      <c r="C30" s="2" t="s">
        <v>866</v>
      </c>
      <c r="D30" s="14">
        <f>SUM(D28:D29)</f>
        <v>2999297.2207222674</v>
      </c>
      <c r="E30" s="14">
        <f>SUM(E28:E29)</f>
        <v>2990410.5022186451</v>
      </c>
      <c r="F30" s="14">
        <f>SUM(F28:F29)</f>
        <v>8886.7185036227347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1040</v>
      </c>
      <c r="D32" s="14">
        <f>'B8-B10'!C20</f>
        <v>29668545.204190899</v>
      </c>
      <c r="E32" s="14">
        <f>'B8-B10'!D20</f>
        <v>20101914.552749481</v>
      </c>
      <c r="F32" s="14">
        <f>'B8-B10'!E20</f>
        <v>9566630.6514414083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843</v>
      </c>
      <c r="D34" s="14">
        <f>D19+D26+D30+D32</f>
        <v>3036768024.3743014</v>
      </c>
      <c r="E34" s="14">
        <f>E19+E26+E30+E32</f>
        <v>2881894536.355968</v>
      </c>
      <c r="F34" s="14">
        <f>F19+F26+F30+F32</f>
        <v>154873488.01833382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7.5303850499999991E-2</v>
      </c>
      <c r="E36" s="45">
        <f>'B11-B14'!$H$17</f>
        <v>7.5303850499999991E-2</v>
      </c>
      <c r="F36" s="45">
        <f>'B11-B14'!$H$17</f>
        <v>7.5303850499999991E-2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844</v>
      </c>
      <c r="D38" s="14">
        <f>ROUND(+D36*D34,10)</f>
        <v>228680325.31066301</v>
      </c>
      <c r="E38" s="14">
        <f>ROUND(+E36*E34,10)</f>
        <v>217017755.32251701</v>
      </c>
      <c r="F38" s="14">
        <f>ROUND(+F36*F34,10)</f>
        <v>11662569.988146201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848</v>
      </c>
    </row>
    <row r="45" spans="1:6" ht="12.75">
      <c r="B45" s="4" t="s">
        <v>1088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I56"/>
  <sheetViews>
    <sheetView view="pageBreakPreview" topLeftCell="A10" zoomScale="85" zoomScaleNormal="100" zoomScaleSheetLayoutView="85" workbookViewId="0">
      <selection activeCell="G19" sqref="G19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37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12/31/2023 (actuals) for 2024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1035</v>
      </c>
      <c r="D12" s="81">
        <f>INPUT!C20</f>
        <v>17670477629</v>
      </c>
      <c r="E12" s="2" t="s">
        <v>955</v>
      </c>
      <c r="F12" s="124">
        <f>INPUT!C21+'B3-B4'!D7</f>
        <v>6932124348.0699997</v>
      </c>
      <c r="G12" s="30">
        <f>INPUT!C22+'B3-B4'!D7</f>
        <v>6932124348.0699997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1089</v>
      </c>
      <c r="F14" s="124">
        <f>'B7'!D40</f>
        <v>20600461.579457331</v>
      </c>
      <c r="G14" s="30">
        <f>'B7'!E40</f>
        <v>0</v>
      </c>
      <c r="H14" s="81">
        <f>'B7'!F40</f>
        <v>20600461.579457328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17670477629</v>
      </c>
      <c r="E16" s="3"/>
      <c r="F16" s="124">
        <f>F12+F14</f>
        <v>6952724809.649457</v>
      </c>
      <c r="G16" s="30">
        <f>G12+G14</f>
        <v>6932124348.0699997</v>
      </c>
      <c r="H16" s="81">
        <f>H12+H14</f>
        <v>20600461.579457328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0.99703706645330381</v>
      </c>
      <c r="H17" s="154">
        <f>H16/G16</f>
        <v>2.9717386107179083E-3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6952724809.649457</v>
      </c>
      <c r="G18" s="30">
        <f>G16</f>
        <v>6932124348.0699997</v>
      </c>
      <c r="H18" s="81">
        <f>H16</f>
        <v>20600461.579457328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17670477629</v>
      </c>
      <c r="G19" s="30">
        <f>$D$16</f>
        <v>17670477629</v>
      </c>
      <c r="H19" s="81">
        <f>$D$16</f>
        <v>17670477629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0.39346558459999997</v>
      </c>
      <c r="G20" s="126">
        <f>ROUND(+G18/$F$19,10)</f>
        <v>0.39229977220000001</v>
      </c>
      <c r="H20" s="117">
        <f>ROUND(+H18/$F$19,10)</f>
        <v>1.1658123999999999E-3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1036</v>
      </c>
      <c r="D25" s="81">
        <f>INPUT!C24</f>
        <v>6389939212.0400009</v>
      </c>
      <c r="E25" s="4" t="s">
        <v>956</v>
      </c>
      <c r="F25" s="124">
        <f>INPUT!C25+INPUT!C382</f>
        <v>3413013102.79</v>
      </c>
      <c r="G25" s="30">
        <f>ROUND(+$F$25*(G12/$F$12),10)</f>
        <v>3413013102.79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288172602.24000001</v>
      </c>
      <c r="E27" s="2" t="s">
        <v>383</v>
      </c>
      <c r="F27" s="124">
        <f>ROUND(+$D$27*'B7'!D42,10)</f>
        <v>6364273.2180685103</v>
      </c>
      <c r="G27" s="30">
        <f>ROUND(+$D$27*'B7'!E42,10)</f>
        <v>0</v>
      </c>
      <c r="H27" s="81">
        <f>ROUND(+$D$27*'B7'!F42,10)</f>
        <v>6364273.2180685103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3419377376.0080686</v>
      </c>
      <c r="G29" s="30">
        <f>SUM(G25:G28)</f>
        <v>3413013102.79</v>
      </c>
      <c r="H29" s="81">
        <f>SUM(H25:H28)</f>
        <v>6364273.2180685103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2358301415.5999985</v>
      </c>
      <c r="E31" s="4" t="s">
        <v>850</v>
      </c>
      <c r="F31" s="124">
        <f>-B6a!D71</f>
        <v>928667575.57999992</v>
      </c>
      <c r="G31" s="30">
        <f>-B6a!E71</f>
        <v>744711922.66999996</v>
      </c>
      <c r="H31" s="81">
        <f>-B6a!F71</f>
        <v>183955652.90999997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1083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849</v>
      </c>
      <c r="D40" s="14"/>
    </row>
    <row r="43" spans="1:8" ht="12.75">
      <c r="A43" s="205" t="s">
        <v>912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867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907</v>
      </c>
      <c r="D49" s="207">
        <f>INPUT!C20</f>
        <v>17670477629</v>
      </c>
      <c r="E49" s="204" t="s">
        <v>908</v>
      </c>
      <c r="F49" s="204">
        <v>6852308785</v>
      </c>
      <c r="G49" s="204">
        <f>+F49</f>
        <v>6852308785</v>
      </c>
      <c r="H49" s="204">
        <v>0</v>
      </c>
    </row>
    <row r="50" spans="1:8" ht="12.75">
      <c r="A50" s="204">
        <v>15</v>
      </c>
      <c r="B50" s="204" t="s">
        <v>911</v>
      </c>
      <c r="C50" s="203" t="s">
        <v>1043</v>
      </c>
      <c r="D50" s="204" t="s">
        <v>272</v>
      </c>
      <c r="E50" s="204"/>
      <c r="F50" s="209">
        <f>+'B3-B4'!D7</f>
        <v>79815563.070000008</v>
      </c>
      <c r="G50" s="209">
        <f>+'B3-B4'!D7</f>
        <v>79815563.070000008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1044</v>
      </c>
      <c r="D51" s="204"/>
      <c r="E51" s="204"/>
      <c r="F51" s="204">
        <f>+F49+F50</f>
        <v>6932124348.0699997</v>
      </c>
      <c r="G51" s="204">
        <f>+G49+G50</f>
        <v>6932124348.0699997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1072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909</v>
      </c>
      <c r="C54" s="204" t="s">
        <v>1041</v>
      </c>
      <c r="D54" s="204">
        <f>INPUT!C24</f>
        <v>6389939212.0400009</v>
      </c>
      <c r="E54" s="204" t="s">
        <v>1041</v>
      </c>
      <c r="F54" s="204">
        <v>-3383930632.1599998</v>
      </c>
      <c r="G54" s="204">
        <f>+F54</f>
        <v>-3383930632.1599998</v>
      </c>
      <c r="H54" s="204">
        <v>0</v>
      </c>
    </row>
    <row r="55" spans="1:8" ht="12.75">
      <c r="A55" s="204">
        <v>19</v>
      </c>
      <c r="B55" s="204" t="s">
        <v>910</v>
      </c>
      <c r="C55" s="204" t="s">
        <v>868</v>
      </c>
      <c r="D55" s="204" t="s">
        <v>272</v>
      </c>
      <c r="E55" s="204" t="s">
        <v>272</v>
      </c>
      <c r="F55" s="209">
        <f>-+INPUT!C382</f>
        <v>-29082470.630000003</v>
      </c>
      <c r="G55" s="209">
        <f>-+INPUT!C382</f>
        <v>-29082470.630000003</v>
      </c>
      <c r="H55" s="209">
        <v>0</v>
      </c>
    </row>
    <row r="56" spans="1:8" ht="12.75">
      <c r="A56" s="204">
        <v>20</v>
      </c>
      <c r="B56" s="204" t="s">
        <v>1065</v>
      </c>
      <c r="C56" s="204" t="s">
        <v>1045</v>
      </c>
      <c r="D56" s="204"/>
      <c r="E56" s="204"/>
      <c r="F56" s="204">
        <f>+F54+F55</f>
        <v>-3413013102.79</v>
      </c>
      <c r="G56" s="204">
        <f>+G54+G55</f>
        <v>-3413013102.79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75"/>
  <sheetViews>
    <sheetView zoomScale="115" zoomScaleNormal="115" workbookViewId="0">
      <pane xSplit="3" ySplit="6" topLeftCell="D46" activePane="bottomRight" state="frozen"/>
      <selection activeCell="H22" sqref="H22"/>
      <selection pane="topRight" activeCell="H22" sqref="H22"/>
      <selection pane="bottomLeft" activeCell="H22" sqref="H22"/>
      <selection pane="bottomRight" activeCell="D7" sqref="D7"/>
    </sheetView>
  </sheetViews>
  <sheetFormatPr defaultColWidth="9" defaultRowHeight="12"/>
  <cols>
    <col min="1" max="1" width="5.625" style="3" customWidth="1"/>
    <col min="2" max="2" width="8" style="3" customWidth="1"/>
    <col min="3" max="3" width="24.37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972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12/31/2023 (actuals) for 2024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50187641.110000014</v>
      </c>
      <c r="E7" s="134">
        <f>+D7</f>
        <v>50187641.110000014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-4363007.8</v>
      </c>
      <c r="E8" s="134"/>
      <c r="F8" s="134">
        <f>+D8</f>
        <v>-4363007.8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97201928.99000001</v>
      </c>
      <c r="E9" s="134"/>
      <c r="F9" s="134"/>
      <c r="G9" s="134">
        <f>+D9</f>
        <v>97201928.99000001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0</v>
      </c>
      <c r="E10" s="134"/>
      <c r="F10" s="134"/>
      <c r="G10" s="134"/>
      <c r="H10" s="134">
        <f>+D10</f>
        <v>0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143026562.30000001</v>
      </c>
      <c r="E11" s="136">
        <f>SUM(E7:E10)</f>
        <v>50187641.110000014</v>
      </c>
      <c r="F11" s="136">
        <f>SUM(F7:F10)</f>
        <v>-4363007.8</v>
      </c>
      <c r="G11" s="136">
        <f>SUM(G7:G10)</f>
        <v>97201928.99000001</v>
      </c>
      <c r="H11" s="136">
        <f>SUM(H7:H10)</f>
        <v>0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-4363007.8</v>
      </c>
      <c r="G13" s="134">
        <f>+G11*G12</f>
        <v>97201928.99000001</v>
      </c>
      <c r="H13" s="134">
        <f>+H11*H12</f>
        <v>0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97201928.99000001</v>
      </c>
      <c r="H15" s="134">
        <f>+H13*INPUT!C78</f>
        <v>0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-4363007.8</v>
      </c>
      <c r="G16" s="134">
        <v>0</v>
      </c>
      <c r="H16" s="134">
        <f>+H13*INPUT!C79</f>
        <v>0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1090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-206273193.34999999</v>
      </c>
      <c r="E21" s="134"/>
      <c r="F21" s="134"/>
      <c r="G21" s="134">
        <f>+D21</f>
        <v>-206273193.34999999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-206273193.34999999</v>
      </c>
      <c r="E23" s="138">
        <f>SUM(E19:E22)</f>
        <v>0</v>
      </c>
      <c r="F23" s="138">
        <f>SUM(F19:F22)</f>
        <v>0</v>
      </c>
      <c r="G23" s="138">
        <f>SUM(G19:G22)</f>
        <v>-206273193.34999999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-206273193.34999999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-206273193.34999999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1090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-1387584346.6399999</v>
      </c>
      <c r="E33" s="134">
        <f>+D33</f>
        <v>-1387584346.6399999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2098.0199999999895</v>
      </c>
      <c r="E34" s="134"/>
      <c r="F34" s="134">
        <f>+D34</f>
        <v>2098.0199999999895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-617044518.58999991</v>
      </c>
      <c r="E35" s="134"/>
      <c r="F35" s="134"/>
      <c r="G35" s="134">
        <f>+D35</f>
        <v>-617044518.58999991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39563.67</v>
      </c>
      <c r="E36" s="134"/>
      <c r="F36" s="134"/>
      <c r="G36" s="134"/>
      <c r="H36" s="134">
        <f>+D36</f>
        <v>39563.67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-2004587203.5399997</v>
      </c>
      <c r="E37" s="138">
        <f>SUM(E33:E36)</f>
        <v>-1387584346.6399999</v>
      </c>
      <c r="F37" s="138">
        <f>SUM(F33:F36)</f>
        <v>2098.0199999999895</v>
      </c>
      <c r="G37" s="138">
        <f>SUM(G33:G36)</f>
        <v>-617044518.58999991</v>
      </c>
      <c r="H37" s="138">
        <f>SUM(H33:H36)</f>
        <v>39563.67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2098.0199999999895</v>
      </c>
      <c r="G39" s="151">
        <f>+G37*G38</f>
        <v>-617044518.58999991</v>
      </c>
      <c r="H39" s="151">
        <f>+H37*H38</f>
        <v>39563.67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-617044518.58999991</v>
      </c>
      <c r="H41" s="151">
        <f>+H39*INPUT!C78</f>
        <v>0</v>
      </c>
    </row>
    <row r="42" spans="1:8">
      <c r="A42" s="19">
        <v>29</v>
      </c>
      <c r="C42" s="133" t="s">
        <v>396</v>
      </c>
      <c r="E42" s="151"/>
      <c r="F42" s="151">
        <f>+F39*1</f>
        <v>2098.0199999999895</v>
      </c>
      <c r="G42" s="151">
        <v>0</v>
      </c>
      <c r="H42" s="151">
        <f>+H39*INPUT!C79</f>
        <v>39563.67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1090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-92235610.489999995</v>
      </c>
      <c r="E46" s="153">
        <f>+D46</f>
        <v>-92235610.489999995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-1081257.3699999999</v>
      </c>
      <c r="F47" s="153">
        <f>+D47</f>
        <v>-1081257.3699999999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-18596139.720000003</v>
      </c>
      <c r="G48" s="153">
        <f>+D48</f>
        <v>-18596139.720000003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-178553049.42999995</v>
      </c>
      <c r="H49" s="153">
        <f>+D49</f>
        <v>-178553049.42999995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-290466057.00999993</v>
      </c>
      <c r="E50" s="138">
        <f>SUM(E46:E49)</f>
        <v>-92235610.489999995</v>
      </c>
      <c r="F50" s="138">
        <f>SUM(F46:F49)</f>
        <v>-1081257.3699999999</v>
      </c>
      <c r="G50" s="138">
        <f>SUM(G46:G49)</f>
        <v>-18596139.720000003</v>
      </c>
      <c r="H50" s="138">
        <f>SUM(H46:H49)</f>
        <v>-178553049.42999995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-1081257.3699999999</v>
      </c>
      <c r="G52" s="153">
        <f>+G51*G50</f>
        <v>-18596139.720000003</v>
      </c>
      <c r="H52" s="153">
        <f>+H51*H50</f>
        <v>-178553049.42999995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-18596139.720000003</v>
      </c>
      <c r="H54" s="54">
        <f>+H52*INPUT!C78</f>
        <v>0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-1081257.3699999999</v>
      </c>
      <c r="G55" s="54">
        <v>0</v>
      </c>
      <c r="H55" s="54">
        <f>+H52*INPUT!C79</f>
        <v>-178553049.42999995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1090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-1524</v>
      </c>
      <c r="E58" s="153">
        <f>+D58</f>
        <v>-1524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0</v>
      </c>
      <c r="G60" s="153">
        <f>+D60</f>
        <v>0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-1524</v>
      </c>
      <c r="E62" s="138">
        <f>SUM(E58:E61)</f>
        <v>-1524</v>
      </c>
      <c r="F62" s="138">
        <f>SUM(F58:F61)</f>
        <v>0</v>
      </c>
      <c r="G62" s="138">
        <f>SUM(G58:G61)</f>
        <v>0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0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-5442167.1500000004</v>
      </c>
      <c r="E68" s="151">
        <f>+F15+F41+F54</f>
        <v>0</v>
      </c>
      <c r="F68" s="54">
        <f>+F16+F42+F55</f>
        <v>-5442167.1500000004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-744711922.66999996</v>
      </c>
      <c r="E69" s="54">
        <f>+G15+G27+G41+G54+G64</f>
        <v>-744711922.66999996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-178513485.75999996</v>
      </c>
      <c r="E70" s="54">
        <f>+H15+H41+H54</f>
        <v>0</v>
      </c>
      <c r="F70" s="54">
        <f>+H16+H42+H55</f>
        <v>-178513485.75999996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-928667575.57999992</v>
      </c>
      <c r="E71" s="103">
        <f>SUM(E68:E70)</f>
        <v>-744711922.66999996</v>
      </c>
      <c r="F71" s="103">
        <f>SUM(F68:F70)</f>
        <v>-183955652.90999997</v>
      </c>
      <c r="G71" s="54"/>
      <c r="H71" s="92"/>
    </row>
    <row r="72" spans="1:8" ht="12.75" thickTop="1">
      <c r="H72" s="92"/>
    </row>
    <row r="74" spans="1:8">
      <c r="B74" s="32" t="s">
        <v>832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6"/>
  <sheetViews>
    <sheetView topLeftCell="A16" zoomScaleNormal="100" workbookViewId="0">
      <selection activeCell="F49" sqref="F49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972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12/31/2023 (actuals) for 2024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880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18016139</v>
      </c>
      <c r="C14" s="1" t="s">
        <v>383</v>
      </c>
      <c r="D14" s="14">
        <f>B14*F53</f>
        <v>397885.26777403447</v>
      </c>
      <c r="E14" s="3">
        <f>D14*INPUT!C78</f>
        <v>0</v>
      </c>
      <c r="F14" s="3">
        <f>D14*INPUT!C79</f>
        <v>397885.26777403447</v>
      </c>
      <c r="G14" s="2" t="s">
        <v>869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18016139</v>
      </c>
      <c r="C16" s="3"/>
      <c r="D16" s="14">
        <f>SUM(D14:D15)</f>
        <v>397885.26777403447</v>
      </c>
      <c r="E16" s="14">
        <f>SUM(E14:E15)</f>
        <v>0</v>
      </c>
      <c r="F16" s="14">
        <f>SUM(F14:F15)</f>
        <v>397885.26777403447</v>
      </c>
      <c r="G16" s="2" t="s">
        <v>869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296389474</v>
      </c>
      <c r="C18" s="1" t="s">
        <v>383</v>
      </c>
      <c r="D18" s="14">
        <f>B18*$F$53</f>
        <v>6545742.4161689272</v>
      </c>
      <c r="E18" s="3">
        <f>D18*INPUT!C78</f>
        <v>0</v>
      </c>
      <c r="F18" s="3">
        <f>D18*INPUT!C79</f>
        <v>6545742.4161689272</v>
      </c>
      <c r="G18" s="2" t="s">
        <v>870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296389474</v>
      </c>
      <c r="C20" s="3"/>
      <c r="D20" s="14">
        <f>SUM(D18:D19)</f>
        <v>6545742.4161689272</v>
      </c>
      <c r="E20" s="14">
        <f>SUM(E18:E19)</f>
        <v>0</v>
      </c>
      <c r="F20" s="14">
        <f>SUM(F18:F19)</f>
        <v>6545742.4161689272</v>
      </c>
      <c r="G20" s="2" t="s">
        <v>870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16840799</v>
      </c>
      <c r="C22" s="1" t="s">
        <v>383</v>
      </c>
      <c r="D22" s="14">
        <f>B22*$F$53</f>
        <v>371927.95968346449</v>
      </c>
      <c r="E22" s="3">
        <f>D22*INPUT!C78</f>
        <v>0</v>
      </c>
      <c r="F22" s="3">
        <f>D22*INPUT!C79</f>
        <v>371927.95968346449</v>
      </c>
      <c r="G22" s="2" t="s">
        <v>871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16840799</v>
      </c>
      <c r="C24" s="3"/>
      <c r="D24" s="14">
        <f>SUM(D22:D23)</f>
        <v>371927.95968346449</v>
      </c>
      <c r="E24" s="14">
        <f>SUM(E22:E23)</f>
        <v>0</v>
      </c>
      <c r="F24" s="14">
        <f>SUM(F22:F23)</f>
        <v>371927.95968346449</v>
      </c>
      <c r="G24" s="2" t="s">
        <v>871</v>
      </c>
    </row>
    <row r="25" spans="1:7" ht="12.75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191.56473052699999</v>
      </c>
      <c r="E25" s="14">
        <f>ROUND(+D25*INPUT!$C$78,10)</f>
        <v>0</v>
      </c>
      <c r="F25" s="14">
        <f>ROUND(+D25*INPUT!$C$79,10)</f>
        <v>191.56473052699999</v>
      </c>
      <c r="G25" s="2" t="s">
        <v>872</v>
      </c>
    </row>
    <row r="26" spans="1:7" ht="12.75">
      <c r="A26" s="4" t="s">
        <v>198</v>
      </c>
      <c r="B26" s="14">
        <f>INPUT!C61</f>
        <v>3680857</v>
      </c>
      <c r="C26" s="1" t="s">
        <v>383</v>
      </c>
      <c r="D26" s="14">
        <f t="shared" si="0"/>
        <v>81291.489429723501</v>
      </c>
      <c r="E26" s="14">
        <f>ROUND(+D26*INPUT!$C$78,10)</f>
        <v>0</v>
      </c>
      <c r="F26" s="14">
        <f>ROUND(+D26*INPUT!$C$79,10)</f>
        <v>81291.489429723501</v>
      </c>
      <c r="G26" s="2" t="s">
        <v>873</v>
      </c>
    </row>
    <row r="27" spans="1:7" ht="12.75">
      <c r="A27" s="4" t="s">
        <v>203</v>
      </c>
      <c r="B27" s="14">
        <f>INPUT!C62</f>
        <v>52307268</v>
      </c>
      <c r="C27" s="1" t="s">
        <v>383</v>
      </c>
      <c r="D27" s="14">
        <f t="shared" si="0"/>
        <v>1155202.639961214</v>
      </c>
      <c r="E27" s="14">
        <f>ROUND(+D27*INPUT!$C$78,10)</f>
        <v>0</v>
      </c>
      <c r="F27" s="14">
        <f>ROUND(+D27*INPUT!$C$79,10)</f>
        <v>1155202.6399612101</v>
      </c>
      <c r="G27" s="2" t="s">
        <v>874</v>
      </c>
    </row>
    <row r="28" spans="1:7" ht="12.75">
      <c r="A28" s="4" t="s">
        <v>208</v>
      </c>
      <c r="B28" s="14">
        <f>INPUT!C63</f>
        <v>2334352</v>
      </c>
      <c r="C28" s="1" t="s">
        <v>383</v>
      </c>
      <c r="D28" s="14">
        <f t="shared" si="0"/>
        <v>51554.013354296003</v>
      </c>
      <c r="E28" s="14">
        <f>ROUND(+D28*INPUT!$C$78,10)</f>
        <v>0</v>
      </c>
      <c r="F28" s="14">
        <f>ROUND(+D28*INPUT!$C$79,10)</f>
        <v>51554.013354296003</v>
      </c>
      <c r="G28" s="2" t="s">
        <v>875</v>
      </c>
    </row>
    <row r="29" spans="1:7" ht="12.75">
      <c r="A29" s="4" t="s">
        <v>845</v>
      </c>
      <c r="B29" s="14">
        <f>INPUT!C64</f>
        <v>224961436</v>
      </c>
      <c r="C29" s="1" t="s">
        <v>383</v>
      </c>
      <c r="D29" s="14">
        <f t="shared" si="0"/>
        <v>4968258.8040473778</v>
      </c>
      <c r="E29" s="14">
        <f>ROUND(+D29*INPUT!$C$78,10)</f>
        <v>0</v>
      </c>
      <c r="F29" s="14">
        <f>ROUND(+D29*INPUT!$C$79,10)</f>
        <v>4968258.8040473796</v>
      </c>
      <c r="G29" s="2" t="s">
        <v>876</v>
      </c>
    </row>
    <row r="30" spans="1:7" ht="12.75">
      <c r="A30" s="2" t="s">
        <v>846</v>
      </c>
      <c r="B30" s="14">
        <f>INPUT!C65</f>
        <v>11674267</v>
      </c>
      <c r="C30" s="1" t="s">
        <v>383</v>
      </c>
      <c r="D30" s="14">
        <f t="shared" si="0"/>
        <v>257825.43370477849</v>
      </c>
      <c r="E30" s="14">
        <f>ROUND(+D30*INPUT!$C$78,10)</f>
        <v>0</v>
      </c>
      <c r="F30" s="14">
        <f>ROUND(+D30*INPUT!$C$79,10)</f>
        <v>257825.433704778</v>
      </c>
      <c r="G30" s="2" t="s">
        <v>1076</v>
      </c>
    </row>
    <row r="31" spans="1:7" ht="12.75">
      <c r="A31" s="4" t="s">
        <v>957</v>
      </c>
      <c r="B31" s="14">
        <f>B16+B20+B24+B25+B26+B27+B28+B29+B30</f>
        <v>626213266</v>
      </c>
      <c r="C31" s="3"/>
      <c r="D31" s="14">
        <f>D16+D20+D24+D25+D26+D27+D28+D29+D30</f>
        <v>13829879.588854343</v>
      </c>
      <c r="E31" s="14">
        <f>E16+E20+E24+E25+E26+E27+E28+E29+E30</f>
        <v>0</v>
      </c>
      <c r="F31" s="14">
        <f>F16+F20+F24+F25+F26+F27+F28+F29+F30</f>
        <v>13829879.588854341</v>
      </c>
      <c r="G31" s="2" t="s">
        <v>1077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2.20849355E-2</v>
      </c>
      <c r="E32" s="45">
        <f>ROUND(+E31/$B$31,10)</f>
        <v>0</v>
      </c>
      <c r="F32" s="45">
        <f>ROUND(+F31/$B$31,10)</f>
        <v>2.20849355E-2</v>
      </c>
    </row>
    <row r="33" spans="1:7" ht="12.75">
      <c r="A33" s="4" t="s">
        <v>235</v>
      </c>
      <c r="B33" s="3">
        <f>INPUT!C66</f>
        <v>43287</v>
      </c>
      <c r="C33" s="19" t="s">
        <v>392</v>
      </c>
      <c r="D33" s="14">
        <f>B33*$F$53</f>
        <v>955.99060298849997</v>
      </c>
      <c r="E33" s="14">
        <f>ROUND(+D33*INPUT!$C$78,10)</f>
        <v>0</v>
      </c>
      <c r="F33" s="14">
        <f>ROUND(+D33*INPUT!$C$79,10)</f>
        <v>955.99060298849997</v>
      </c>
      <c r="G33" s="2" t="s">
        <v>1075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1078</v>
      </c>
      <c r="B35" s="14">
        <f>+B31+B33</f>
        <v>626256553</v>
      </c>
      <c r="C35" s="3"/>
      <c r="D35" s="14">
        <f>+D31+D33</f>
        <v>13830835.579457331</v>
      </c>
      <c r="E35" s="14">
        <f>+E31+E33</f>
        <v>0</v>
      </c>
      <c r="F35" s="14">
        <f>+F31+F33</f>
        <v>13830835.57945733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1079</v>
      </c>
      <c r="B38" s="3">
        <f>INPUT!C71</f>
        <v>306526882</v>
      </c>
      <c r="C38" s="19" t="s">
        <v>383</v>
      </c>
      <c r="D38" s="14">
        <f>ROUND(+B38*$F$53,0)</f>
        <v>6769626</v>
      </c>
      <c r="E38" s="14">
        <f>ROUND(+D38*INPUT!$C$78,10)</f>
        <v>0</v>
      </c>
      <c r="F38" s="14">
        <f>ROUND(+D38*INPUT!C79,10)</f>
        <v>6769626</v>
      </c>
      <c r="G38" s="2" t="s">
        <v>877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1080</v>
      </c>
      <c r="B40" s="3">
        <f>B35+B38</f>
        <v>932783435</v>
      </c>
      <c r="C40" s="3"/>
      <c r="D40" s="3">
        <f>+D35+D38</f>
        <v>20600461.579457331</v>
      </c>
      <c r="E40" s="3">
        <f>+E35+E38</f>
        <v>0</v>
      </c>
      <c r="F40" s="3">
        <f>+F35+F38</f>
        <v>20600461.579457328</v>
      </c>
      <c r="G40" s="2" t="s">
        <v>1082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1081</v>
      </c>
      <c r="B42" s="3"/>
      <c r="C42" s="1" t="s">
        <v>211</v>
      </c>
      <c r="D42" s="45">
        <f>ROUND(D40/$B$40,10)</f>
        <v>2.2084935100000001E-2</v>
      </c>
      <c r="E42" s="45">
        <f>ROUND(E40/$B$40,10)</f>
        <v>0</v>
      </c>
      <c r="F42" s="45">
        <f>ROUND(F40/$B$40,10)</f>
        <v>2.2084935100000001E-2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1091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1092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154100699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3403304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2.20849355E-2</v>
      </c>
    </row>
    <row r="54" spans="1:6" ht="12.75">
      <c r="A54" s="4" t="s">
        <v>1093</v>
      </c>
      <c r="B54" s="3"/>
      <c r="C54" s="3"/>
      <c r="D54" s="3"/>
      <c r="E54" s="3"/>
      <c r="F54" s="3"/>
    </row>
    <row r="55" spans="1:6" ht="12.75">
      <c r="A55" s="4" t="s">
        <v>1094</v>
      </c>
      <c r="B55" s="47"/>
      <c r="C55" s="47"/>
      <c r="D55" s="47"/>
      <c r="E55" s="47"/>
      <c r="F55" s="47"/>
    </row>
    <row r="56" spans="1:6" ht="12.75">
      <c r="A56" s="4" t="s">
        <v>1095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1"/>
  <sheetViews>
    <sheetView topLeftCell="O1" zoomScaleNormal="100" workbookViewId="0">
      <selection activeCell="U29" sqref="U29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972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972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972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12/31/2023 (actuals) for 2024</v>
      </c>
      <c r="B2" s="3"/>
      <c r="C2" s="3"/>
      <c r="D2" s="3"/>
      <c r="E2" s="18" t="s">
        <v>33</v>
      </c>
      <c r="F2" s="3"/>
      <c r="G2" s="30" t="str">
        <f>INPUT!$B$2</f>
        <v>12 Months Ending 12/31/2023 (actuals) for 2024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12/31/2023 (actuals) for 2024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880</v>
      </c>
      <c r="Y8" s="3"/>
      <c r="Z8" s="3"/>
      <c r="AA8" s="3"/>
    </row>
    <row r="9" spans="1:35" ht="12.75">
      <c r="A9" s="3" t="s">
        <v>496</v>
      </c>
      <c r="B9" s="32" t="s">
        <v>1046</v>
      </c>
      <c r="C9" s="3">
        <f>'B11-B14'!AG25</f>
        <v>775422568.65999997</v>
      </c>
      <c r="D9" s="3">
        <f>'B11-B14'!AH25</f>
        <v>222199181</v>
      </c>
      <c r="E9" s="3">
        <f>'B11-B14'!AI25</f>
        <v>553223387.65999997</v>
      </c>
      <c r="F9" s="3"/>
      <c r="G9" s="2" t="s">
        <v>768</v>
      </c>
      <c r="H9" s="4" t="s">
        <v>1054</v>
      </c>
      <c r="I9" s="14">
        <f>INPUT!C81+INPUT!C87+INPUT!C88</f>
        <v>315017435.19699997</v>
      </c>
      <c r="J9" s="1"/>
      <c r="K9" s="14">
        <f>I9</f>
        <v>315017435.19699997</v>
      </c>
      <c r="L9" s="14">
        <v>0</v>
      </c>
      <c r="M9" s="14">
        <f>K9</f>
        <v>315017435.19699997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1047</v>
      </c>
      <c r="C11" s="3">
        <f>-'B11-B14'!AG11-'B11-B14'!AG12-'B11-B14'!AG13</f>
        <v>-21735018.66</v>
      </c>
      <c r="D11" s="3">
        <f>-'B11-B14'!AH11-'B11-B14'!AH12-'B11-B14'!AH13</f>
        <v>0</v>
      </c>
      <c r="E11" s="3">
        <f>-'B11-B14'!AI11-'B11-B14'!AI12-'B11-B14'!AI13</f>
        <v>-21735018.66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1048</v>
      </c>
      <c r="C12" s="3">
        <f>-'B11-B14'!AG22</f>
        <v>-521965140</v>
      </c>
      <c r="D12" s="3">
        <f>-'B11-B14'!AH22</f>
        <v>-65624304</v>
      </c>
      <c r="E12" s="3">
        <f>-'B11-B14'!AI22</f>
        <v>-456340836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84001332.030999988</v>
      </c>
      <c r="J13" s="1" t="s">
        <v>128</v>
      </c>
      <c r="K13" s="14">
        <f>I13</f>
        <v>84001332.030999988</v>
      </c>
      <c r="L13" s="14">
        <f>K13*('B6'!G12/'B6'!F12)</f>
        <v>84001332.030999988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45628882</v>
      </c>
      <c r="T13" s="3"/>
      <c r="U13" s="3"/>
      <c r="V13" s="3"/>
      <c r="W13" s="3"/>
      <c r="X13" s="2" t="s">
        <v>881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231722410</v>
      </c>
      <c r="D14" s="3">
        <f>SUM(D9,D11:D12)</f>
        <v>156574877</v>
      </c>
      <c r="E14" s="3">
        <f>SUM(E9,E11:E12)</f>
        <v>75147532.99999994</v>
      </c>
      <c r="F14" s="3"/>
      <c r="G14" s="2" t="s">
        <v>136</v>
      </c>
      <c r="H14" s="2" t="s">
        <v>272</v>
      </c>
      <c r="I14" s="14">
        <f>INPUT!C84</f>
        <v>15567142.813000001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5161457</v>
      </c>
      <c r="T14" s="3"/>
      <c r="U14" s="3"/>
      <c r="V14" s="3"/>
      <c r="W14" s="3"/>
      <c r="X14" s="2" t="s">
        <v>882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48546167.259999998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-19674333.27</v>
      </c>
      <c r="T15" s="1" t="s">
        <v>432</v>
      </c>
      <c r="U15" s="3"/>
      <c r="V15" s="3"/>
      <c r="W15" s="3"/>
      <c r="X15" s="2" t="s">
        <v>883</v>
      </c>
      <c r="Y15" s="3"/>
      <c r="Z15" s="3"/>
      <c r="AA15" s="3"/>
    </row>
    <row r="16" spans="1:35" ht="12.75">
      <c r="A16" s="3" t="s">
        <v>499</v>
      </c>
      <c r="B16" s="32" t="s">
        <v>1049</v>
      </c>
      <c r="C16" s="3">
        <f>+U35</f>
        <v>5625951.6335271765</v>
      </c>
      <c r="D16" s="3">
        <f>+V35</f>
        <v>4240439.4219958531</v>
      </c>
      <c r="E16" s="3">
        <f>+W35</f>
        <v>1385512.2115313231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2801436</v>
      </c>
      <c r="T16" s="3"/>
      <c r="U16" s="3"/>
      <c r="V16" s="3"/>
      <c r="W16" s="3"/>
      <c r="X16" s="2" t="s">
        <v>884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-3507486</v>
      </c>
      <c r="T17" s="3"/>
      <c r="U17" s="3"/>
      <c r="V17" s="3"/>
      <c r="W17" s="3"/>
      <c r="X17" s="2" t="s">
        <v>885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237348361.63352719</v>
      </c>
      <c r="D18" s="3">
        <f>+D14+D16</f>
        <v>160815316.42199585</v>
      </c>
      <c r="E18" s="3">
        <f>+E14+E16</f>
        <v>76533045.211531267</v>
      </c>
      <c r="F18" s="3"/>
      <c r="G18" s="2" t="s">
        <v>165</v>
      </c>
      <c r="H18" s="4" t="s">
        <v>544</v>
      </c>
      <c r="I18" s="14">
        <f>SUM(I13:I16)</f>
        <v>148114642.10399997</v>
      </c>
      <c r="J18" s="3"/>
      <c r="K18" s="14">
        <f>SUM(K13:K16)</f>
        <v>84001332.030999988</v>
      </c>
      <c r="L18" s="14">
        <f>SUM(L13:L16)</f>
        <v>84001332.030999988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886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266616</v>
      </c>
      <c r="T19" s="3"/>
      <c r="U19" s="3"/>
      <c r="V19" s="3"/>
      <c r="W19" s="3"/>
      <c r="X19" s="2" t="s">
        <v>887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29668545.204190899</v>
      </c>
      <c r="D20" s="3">
        <f>+D18/8</f>
        <v>20101914.552749481</v>
      </c>
      <c r="E20" s="3">
        <f>+E18/8</f>
        <v>9566630.6514414083</v>
      </c>
      <c r="F20" s="3"/>
      <c r="G20" s="3" t="s">
        <v>766</v>
      </c>
      <c r="H20" s="19" t="s">
        <v>392</v>
      </c>
      <c r="I20" s="3">
        <f>+INPUT!C86</f>
        <v>10115774.119999999</v>
      </c>
      <c r="J20" s="3"/>
      <c r="K20" s="14">
        <f>I20</f>
        <v>10115774.119999999</v>
      </c>
      <c r="L20" s="14">
        <v>0</v>
      </c>
      <c r="M20" s="14">
        <f>K20</f>
        <v>10115774.119999999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30676571.730000004</v>
      </c>
      <c r="T21" s="1" t="s">
        <v>376</v>
      </c>
      <c r="U21" s="14">
        <f>ROUND(+S21*'B7'!$F$53,10)</f>
        <v>677490.10801817302</v>
      </c>
      <c r="V21" s="14">
        <f>ROUND(+$U$21*('B7'!$E32/'B7'!$D$32),10)</f>
        <v>0</v>
      </c>
      <c r="W21" s="14">
        <f>ROUND(+$U$21*('B7'!$F32/'B7'!$D$32),10)</f>
        <v>677490.10801817302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10767506</v>
      </c>
      <c r="T23" s="5" t="s">
        <v>812</v>
      </c>
      <c r="U23" s="14">
        <f>ROUND(+S23*'B7'!$F$53,10)</f>
        <v>237799.67550586301</v>
      </c>
      <c r="V23" s="14">
        <f>ROUND(+$U$23*('B7'!$E32/'B7'!$D32),10)</f>
        <v>0</v>
      </c>
      <c r="W23" s="14">
        <f>ROUND(+$U$23*('B7'!$F32/'B7'!$D32),10)</f>
        <v>237799.67550586301</v>
      </c>
      <c r="X23" s="2" t="s">
        <v>893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1096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7909135</v>
      </c>
      <c r="T25" s="5" t="s">
        <v>383</v>
      </c>
      <c r="U25" s="14">
        <f>ROUND(+$S$25*'B7'!D42,10)</f>
        <v>174672.73317213901</v>
      </c>
      <c r="V25" s="14">
        <f>ROUND(+$S$25*'B7'!E42,10)</f>
        <v>0</v>
      </c>
      <c r="W25" s="14">
        <f>ROUND(+$S$25*'B7'!F42,10)</f>
        <v>174672.73317213901</v>
      </c>
      <c r="X25" s="2" t="s">
        <v>888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5100106</v>
      </c>
      <c r="T27" s="5" t="s">
        <v>211</v>
      </c>
      <c r="U27" s="14">
        <f>$S$27*'B6'!F20</f>
        <v>2006716.1888119674</v>
      </c>
      <c r="V27" s="14">
        <f>$S$27*'B6'!G20</f>
        <v>2000770.4219958533</v>
      </c>
      <c r="W27" s="14">
        <f>$S$27*'B6'!H20</f>
        <v>5945.7668161143993</v>
      </c>
      <c r="X27" s="2" t="s">
        <v>889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9914640</v>
      </c>
      <c r="T29" s="5" t="s">
        <v>385</v>
      </c>
      <c r="U29" s="14">
        <f>INPUT!C105</f>
        <v>2239669</v>
      </c>
      <c r="V29" s="14">
        <f>U29</f>
        <v>2239669</v>
      </c>
      <c r="W29" s="14">
        <v>0</v>
      </c>
      <c r="X29" s="2" t="s">
        <v>890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1051347</v>
      </c>
      <c r="T31" s="1" t="s">
        <v>383</v>
      </c>
      <c r="U31" s="14">
        <f>ROUND(+$S$31*'B7'!D42,10)</f>
        <v>23218.930262579699</v>
      </c>
      <c r="V31" s="14">
        <f>ROUND(+$S$31*'B7'!E42,10)</f>
        <v>0</v>
      </c>
      <c r="W31" s="14">
        <f>ROUND(+$S$31*'B7'!F42,10)</f>
        <v>23218.930262579699</v>
      </c>
      <c r="X31" s="2" t="s">
        <v>891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12061842</v>
      </c>
      <c r="T33" s="5" t="s">
        <v>383</v>
      </c>
      <c r="U33" s="14">
        <f>ROUND(+$S$33*'B7'!$D$42,10)</f>
        <v>266384.99775645399</v>
      </c>
      <c r="V33" s="14">
        <f>ROUND(+$S$33*'B7'!$E$42,10)</f>
        <v>0</v>
      </c>
      <c r="W33" s="14">
        <f>ROUND(+$S$33*'B7'!$F$42,10)</f>
        <v>266384.99775645399</v>
      </c>
      <c r="X33" s="2" t="s">
        <v>892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77481147.730000004</v>
      </c>
      <c r="T35" s="49"/>
      <c r="U35" s="14">
        <f>SUM(U21:U34)</f>
        <v>5625951.6335271765</v>
      </c>
      <c r="V35" s="14">
        <f>SUM(V21:V34)</f>
        <v>4240439.4219958531</v>
      </c>
      <c r="W35" s="14">
        <f>SUM(W21:W34)</f>
        <v>1385512.2115313231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K75"/>
  <sheetViews>
    <sheetView topLeftCell="Z16" zoomScaleNormal="100" workbookViewId="0">
      <selection activeCell="Z13" sqref="Z13"/>
    </sheetView>
  </sheetViews>
  <sheetFormatPr defaultColWidth="9" defaultRowHeight="12"/>
  <cols>
    <col min="1" max="1" width="7.37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375" style="37" customWidth="1"/>
    <col min="28" max="28" width="18.625" style="37" customWidth="1"/>
    <col min="29" max="29" width="11.37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375" style="37" customWidth="1"/>
    <col min="37" max="37" width="10.375" style="37" customWidth="1"/>
    <col min="38" max="38" width="9.75" style="37" customWidth="1"/>
    <col min="39" max="39" width="12.37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972</v>
      </c>
      <c r="J1" s="2" t="s">
        <v>723</v>
      </c>
      <c r="K1" s="3"/>
      <c r="L1" s="41" t="s">
        <v>272</v>
      </c>
      <c r="N1" s="18" t="s">
        <v>972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972</v>
      </c>
      <c r="Y1" s="4" t="s">
        <v>710</v>
      </c>
      <c r="Z1" s="3"/>
      <c r="AA1" s="3"/>
      <c r="AB1" s="3"/>
      <c r="AC1" s="18" t="s">
        <v>972</v>
      </c>
      <c r="AE1" s="2" t="s">
        <v>41</v>
      </c>
      <c r="AF1" s="3"/>
      <c r="AG1" s="3"/>
      <c r="AH1" s="3"/>
      <c r="AK1" s="18" t="s">
        <v>972</v>
      </c>
    </row>
    <row r="2" spans="1:37" ht="12.75">
      <c r="A2" s="30" t="str">
        <f>INPUT!$B$2</f>
        <v>12 Months Ending 12/31/2023 (actuals) for 2024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12/31/2023 (actuals) for 2024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12/31/2023 (actuals) for 2024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12/31/2023 (actuals) for 2024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12/31/2023 (actuals) for 2024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1066</v>
      </c>
      <c r="AC5" s="1" t="s">
        <v>1067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880</v>
      </c>
    </row>
    <row r="9" spans="1:37" ht="13.5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12/31/2023 (actuals) for 2024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853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147717358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5630418390</v>
      </c>
      <c r="E11" s="45">
        <f>ROUND(+D11/$D$17,10)</f>
        <v>0.51586447619999998</v>
      </c>
      <c r="F11" s="108" t="s">
        <v>392</v>
      </c>
      <c r="G11" s="45">
        <f>N37</f>
        <v>4.8372696978208042E-2</v>
      </c>
      <c r="H11" s="45">
        <f>ROUND(+G11*E11,10)</f>
        <v>2.4953756000000001E-2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1139</v>
      </c>
      <c r="R11" s="275">
        <v>0</v>
      </c>
      <c r="S11" s="275"/>
      <c r="T11" s="277">
        <v>0</v>
      </c>
      <c r="U11" s="276">
        <v>0</v>
      </c>
      <c r="V11" s="327">
        <v>38353</v>
      </c>
      <c r="W11" s="327">
        <v>41821</v>
      </c>
      <c r="Y11" s="111">
        <v>3</v>
      </c>
      <c r="Z11" s="4" t="s">
        <v>948</v>
      </c>
      <c r="AA11" s="1" t="s">
        <v>949</v>
      </c>
      <c r="AB11" s="4" t="s">
        <v>950</v>
      </c>
      <c r="AC11" s="3">
        <v>0</v>
      </c>
      <c r="AE11" s="4" t="s">
        <v>115</v>
      </c>
      <c r="AF11" s="1" t="s">
        <v>116</v>
      </c>
      <c r="AG11" s="14">
        <f>INPUT!C134</f>
        <v>23309360.370000001</v>
      </c>
      <c r="AH11" s="3"/>
      <c r="AI11" s="14">
        <f>AG11</f>
        <v>23309360.370000001</v>
      </c>
      <c r="AJ11" s="2" t="s">
        <v>895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1140</v>
      </c>
      <c r="R12" s="278">
        <v>0</v>
      </c>
      <c r="S12" s="278"/>
      <c r="T12" s="277">
        <v>0</v>
      </c>
      <c r="U12" s="276">
        <v>0</v>
      </c>
      <c r="V12" s="327">
        <v>38504</v>
      </c>
      <c r="W12" s="327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895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5482701032</v>
      </c>
      <c r="P13" s="110">
        <v>3</v>
      </c>
      <c r="Q13" s="275" t="s">
        <v>1141</v>
      </c>
      <c r="R13" s="279">
        <v>0</v>
      </c>
      <c r="S13" s="279"/>
      <c r="T13" s="277">
        <v>0</v>
      </c>
      <c r="U13" s="276">
        <v>0</v>
      </c>
      <c r="V13" s="327">
        <v>38596</v>
      </c>
      <c r="W13" s="327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-1574341.71</v>
      </c>
      <c r="AH13" s="3"/>
      <c r="AI13" s="14">
        <f>AG13</f>
        <v>-1574341.71</v>
      </c>
      <c r="AJ13" s="2" t="s">
        <v>895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37071.321111110039</v>
      </c>
      <c r="S14" s="279"/>
      <c r="T14" s="277">
        <v>37071.321111110039</v>
      </c>
      <c r="U14" s="276">
        <v>420141.79</v>
      </c>
      <c r="V14" s="327">
        <v>37742</v>
      </c>
      <c r="W14" s="327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5284111780.7979994</v>
      </c>
      <c r="E15" s="45">
        <f>ROUND(+D15/$D$17,10)</f>
        <v>0.48413552380000002</v>
      </c>
      <c r="F15" s="5" t="s">
        <v>432</v>
      </c>
      <c r="G15" s="219">
        <v>0.104</v>
      </c>
      <c r="H15" s="45">
        <f>ROUND(+G15*E15,10)</f>
        <v>5.0350094499999998E-2</v>
      </c>
      <c r="J15" s="111"/>
      <c r="K15" s="2"/>
      <c r="L15" s="2"/>
      <c r="M15" s="56"/>
      <c r="P15" s="110">
        <v>5</v>
      </c>
      <c r="Q15" s="275" t="s">
        <v>818</v>
      </c>
      <c r="R15" s="279">
        <v>-194198.39999999991</v>
      </c>
      <c r="S15" s="279"/>
      <c r="T15" s="277">
        <v>-194198.39999999991</v>
      </c>
      <c r="U15" s="276">
        <v>-2767328.42</v>
      </c>
      <c r="V15" s="327">
        <v>38808</v>
      </c>
      <c r="W15" s="327">
        <v>49766</v>
      </c>
      <c r="Y15" s="110">
        <v>5</v>
      </c>
      <c r="Z15" s="2" t="s">
        <v>148</v>
      </c>
      <c r="AA15" s="3"/>
      <c r="AB15" s="4" t="s">
        <v>951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819</v>
      </c>
      <c r="R16" s="279">
        <v>159670.56000000006</v>
      </c>
      <c r="S16" s="279"/>
      <c r="T16" s="277">
        <v>159670.56000000006</v>
      </c>
      <c r="U16" s="276">
        <v>2587992.86</v>
      </c>
      <c r="V16" s="327">
        <v>39508</v>
      </c>
      <c r="W16" s="327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878</v>
      </c>
      <c r="D17" s="14">
        <f>SUM(D11:D15)</f>
        <v>10914530170.798</v>
      </c>
      <c r="E17" s="45">
        <f>SUM(E11:E15)</f>
        <v>1</v>
      </c>
      <c r="F17" s="45"/>
      <c r="G17" s="45"/>
      <c r="H17" s="45">
        <f>SUM(H11:H15)</f>
        <v>7.5303850499999991E-2</v>
      </c>
      <c r="J17" s="111"/>
      <c r="K17" s="2"/>
      <c r="L17" s="2"/>
      <c r="M17" s="56"/>
      <c r="P17" s="110">
        <v>7</v>
      </c>
      <c r="Q17" s="275" t="s">
        <v>820</v>
      </c>
      <c r="R17" s="279">
        <v>0</v>
      </c>
      <c r="S17" s="279"/>
      <c r="T17" s="277">
        <v>0</v>
      </c>
      <c r="U17" s="276">
        <v>0</v>
      </c>
      <c r="V17" s="327">
        <v>40322</v>
      </c>
      <c r="W17" s="327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20587167</v>
      </c>
      <c r="AH17" s="14">
        <f>AG17</f>
        <v>20587167</v>
      </c>
      <c r="AI17" s="3"/>
      <c r="AJ17" s="2" t="s">
        <v>896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821</v>
      </c>
      <c r="R18" s="279">
        <v>-251429.99</v>
      </c>
      <c r="S18" s="279"/>
      <c r="T18" s="277">
        <v>-251429.99</v>
      </c>
      <c r="U18" s="276">
        <v>0</v>
      </c>
      <c r="V18" s="327">
        <v>40603</v>
      </c>
      <c r="W18" s="327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16930905</v>
      </c>
      <c r="AH18" s="14">
        <f>AG18</f>
        <v>16930905</v>
      </c>
      <c r="AI18" s="3"/>
      <c r="AJ18" s="2" t="s">
        <v>897</v>
      </c>
    </row>
    <row r="19" spans="1:36" ht="12.75">
      <c r="A19" s="2" t="s">
        <v>398</v>
      </c>
      <c r="B19" s="32" t="s">
        <v>1053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5630418390</v>
      </c>
      <c r="P19" s="110">
        <v>9</v>
      </c>
      <c r="Q19" s="192" t="s">
        <v>1164</v>
      </c>
      <c r="R19" s="193">
        <v>-10593741</v>
      </c>
      <c r="S19" s="193">
        <v>-9739407</v>
      </c>
      <c r="T19" s="194">
        <v>-854334</v>
      </c>
      <c r="U19" s="193">
        <v>-9739407</v>
      </c>
      <c r="V19" s="195">
        <v>44286</v>
      </c>
      <c r="W19" s="195">
        <v>47938</v>
      </c>
      <c r="AE19" s="4" t="s">
        <v>168</v>
      </c>
      <c r="AF19" s="1" t="s">
        <v>376</v>
      </c>
      <c r="AG19" s="14">
        <f>INPUT!C140</f>
        <v>194204338</v>
      </c>
      <c r="AH19" s="14">
        <f>INPUT!C141</f>
        <v>119056805</v>
      </c>
      <c r="AI19" s="14">
        <f>INPUT!C142</f>
        <v>75147533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1052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-10842627.508888889</v>
      </c>
      <c r="S21" s="183">
        <f>SUM(S11:S20)</f>
        <v>-9739407</v>
      </c>
      <c r="T21" s="183">
        <f>SUM(T11:T20)</f>
        <v>-1103220.5088888898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521965140</v>
      </c>
      <c r="AH22" s="14">
        <f>INPUT!C144</f>
        <v>65624304</v>
      </c>
      <c r="AI22" s="14">
        <f>INPUT!C145</f>
        <v>456340836</v>
      </c>
      <c r="AJ22" s="2" t="s">
        <v>898</v>
      </c>
    </row>
    <row r="23" spans="1:36" ht="13.5" thickBot="1">
      <c r="A23" s="2" t="s">
        <v>402</v>
      </c>
      <c r="B23" s="4" t="s">
        <v>1050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254550701.58999997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854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1063</v>
      </c>
      <c r="J25" s="111">
        <v>7</v>
      </c>
      <c r="K25" s="2" t="s">
        <v>632</v>
      </c>
      <c r="L25" s="2" t="s">
        <v>633</v>
      </c>
      <c r="M25" s="1"/>
      <c r="N25" s="14">
        <f>+INPUT!C118</f>
        <v>4353854.25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775422568.65999997</v>
      </c>
      <c r="AH25" s="14">
        <f>SUM(AH11:AH22)</f>
        <v>222199181</v>
      </c>
      <c r="AI25" s="14">
        <f>SUM(AI11:AI22)</f>
        <v>553223387.65999997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3714559.8000000003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-1103220.5088888898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1051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1068</v>
      </c>
      <c r="AF27" s="19" t="s">
        <v>272</v>
      </c>
      <c r="AG27" s="14">
        <f>'B8-B10'!U35</f>
        <v>5625951.6335271765</v>
      </c>
      <c r="AH27" s="14">
        <f>'B8-B10'!V35</f>
        <v>4240439.4219958531</v>
      </c>
      <c r="AI27" s="14">
        <f>'B8-B10'!W35</f>
        <v>1385512.2115313231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10914530170.798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75209.788354416698</v>
      </c>
      <c r="AH29" s="14">
        <f>AG29</f>
        <v>75209.788354416698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262619115.63999999</v>
      </c>
      <c r="O30" s="18"/>
      <c r="P30" s="110">
        <v>14</v>
      </c>
      <c r="Q30" s="2" t="s">
        <v>646</v>
      </c>
      <c r="R30" s="179"/>
      <c r="S30" s="2"/>
      <c r="T30" s="2" t="s">
        <v>856</v>
      </c>
      <c r="U30" s="14"/>
      <c r="V30" s="14"/>
      <c r="W30" s="202">
        <f>IF(W26&lt;0,-V28*W29,V28*W29)</f>
        <v>-5457265.085399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781123730.08188152</v>
      </c>
      <c r="AH31" s="14">
        <f>AH25+AH27+AH29</f>
        <v>226514830.21035028</v>
      </c>
      <c r="AI31" s="14">
        <f>AI25+AI27+AI29</f>
        <v>554608899.87153125</v>
      </c>
    </row>
    <row r="32" spans="1:36" ht="12.75">
      <c r="J32" s="111">
        <v>13</v>
      </c>
      <c r="K32" s="2" t="s">
        <v>741</v>
      </c>
      <c r="L32" s="2" t="s">
        <v>851</v>
      </c>
      <c r="M32" s="2"/>
      <c r="N32" s="18">
        <f>+R21</f>
        <v>-10842627.508888889</v>
      </c>
      <c r="O32" s="18"/>
      <c r="P32" s="110">
        <v>15</v>
      </c>
      <c r="Q32" s="2" t="s">
        <v>861</v>
      </c>
      <c r="R32" s="2"/>
      <c r="S32" s="2"/>
      <c r="T32" s="179"/>
      <c r="U32" s="18"/>
      <c r="V32" s="18"/>
      <c r="W32" s="18">
        <f>IF(ABS(W26)&lt;ABS(W30),W26,W30)</f>
        <v>-1103220.5088888898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852</v>
      </c>
      <c r="N33" s="3">
        <f>+W32</f>
        <v>-1103220.5088888898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972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272358522.63999999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12/31/2023 (actuals) for 2024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1066</v>
      </c>
      <c r="AB36" s="1" t="s">
        <v>1067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879</v>
      </c>
      <c r="L37" s="2"/>
      <c r="M37" s="2"/>
      <c r="N37" s="91">
        <f>+N35/M19</f>
        <v>4.8372696978208042E-2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1055</v>
      </c>
      <c r="AB38" s="3">
        <f>+INPUT!C131</f>
        <v>5276801715.1179991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965</v>
      </c>
      <c r="K41" s="203"/>
      <c r="L41" s="212"/>
      <c r="O41" s="18"/>
      <c r="P41" s="18"/>
      <c r="Q41" s="2" t="s">
        <v>857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894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921</v>
      </c>
      <c r="AF42" s="203"/>
      <c r="AG42" s="212"/>
    </row>
    <row r="43" spans="2:35" ht="12.75">
      <c r="J43" s="211" t="s">
        <v>913</v>
      </c>
      <c r="K43" s="211" t="s">
        <v>630</v>
      </c>
      <c r="L43" s="212">
        <f>+N24</f>
        <v>254550701.58999997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916</v>
      </c>
      <c r="AF43" s="212"/>
      <c r="AG43" s="204">
        <v>521965140</v>
      </c>
    </row>
    <row r="44" spans="2:35" ht="12.75">
      <c r="J44" s="211" t="s">
        <v>914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917</v>
      </c>
      <c r="AF44" s="212"/>
      <c r="AG44" s="204">
        <v>0</v>
      </c>
    </row>
    <row r="45" spans="2:35" ht="12.75">
      <c r="J45" s="214"/>
      <c r="K45" s="215" t="s">
        <v>915</v>
      </c>
      <c r="L45" s="212">
        <f>+L43+L44</f>
        <v>254550701.58999997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918</v>
      </c>
      <c r="AF45" s="212"/>
      <c r="AG45" s="204">
        <v>0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919</v>
      </c>
      <c r="AF46" s="212"/>
      <c r="AG46" s="209">
        <v>0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1056</v>
      </c>
      <c r="AB47" s="3">
        <f>+INPUT!C128</f>
        <v>0</v>
      </c>
      <c r="AC47" s="14"/>
      <c r="AE47" s="203" t="s">
        <v>920</v>
      </c>
      <c r="AF47" s="212"/>
      <c r="AG47" s="204">
        <f>SUM(AG43:AG46)</f>
        <v>521965140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1057</v>
      </c>
      <c r="AB48" s="3">
        <f>INPUT!C129</f>
        <v>-3463212.63</v>
      </c>
      <c r="AC48" s="14"/>
      <c r="AE48" s="2" t="s">
        <v>1038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1058</v>
      </c>
      <c r="AB49" s="3">
        <f>INPUT!C130</f>
        <v>-3846853.0499999993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1042</v>
      </c>
      <c r="AB52" s="3">
        <f>+AB38-AB47-AB48-AB49</f>
        <v>5284111780.7979994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I6MzU6NTk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7BE0500-9776-428D-B2B5-81F8B8CD13E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5D66D74-2B3F-46C2-A4DE-B88E43553D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Joshua P Baluch</cp:lastModifiedBy>
  <cp:lastPrinted>2020-05-21T20:53:17Z</cp:lastPrinted>
  <dcterms:created xsi:type="dcterms:W3CDTF">2003-11-18T20:36:05Z</dcterms:created>
  <dcterms:modified xsi:type="dcterms:W3CDTF">2024-05-15T12:53:23Z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bjLabelHistoryID">
    <vt:lpwstr>{67BE0500-9776-428D-B2B5-81F8B8CD13E7}</vt:lpwstr>
  </property>
</Properties>
</file>