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weathers\AppData\Roaming\OpenText\OTEdit\EC_Cera\c246773988\"/>
    </mc:Choice>
  </mc:AlternateContent>
  <bookViews>
    <workbookView xWindow="0" yWindow="0" windowWidth="28800" windowHeight="12300"/>
  </bookViews>
  <sheets>
    <sheet name="Examples"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93" i="1" l="1"/>
  <c r="Q210" i="1" l="1"/>
  <c r="J210" i="1"/>
  <c r="R180" i="1" l="1"/>
  <c r="T180" i="1" s="1"/>
  <c r="Q180" i="1"/>
  <c r="S180" i="1" s="1"/>
  <c r="R179" i="1"/>
  <c r="T179" i="1" s="1"/>
  <c r="Q179" i="1"/>
  <c r="S179" i="1" s="1"/>
  <c r="R178" i="1"/>
  <c r="Z184" i="1" s="1"/>
  <c r="Q178" i="1"/>
  <c r="X184" i="1" s="1"/>
  <c r="R95" i="1"/>
  <c r="T95" i="1" s="1"/>
  <c r="Q95" i="1"/>
  <c r="S95" i="1" s="1"/>
  <c r="R94" i="1"/>
  <c r="T94" i="1" s="1"/>
  <c r="Q94" i="1"/>
  <c r="S94" i="1" s="1"/>
  <c r="R93" i="1"/>
  <c r="T93" i="1" s="1"/>
  <c r="Q93" i="1"/>
  <c r="S93" i="1" s="1"/>
  <c r="Y99" i="1" s="1"/>
  <c r="R11" i="1"/>
  <c r="T11" i="1" s="1"/>
  <c r="R10" i="1"/>
  <c r="T10" i="1" s="1"/>
  <c r="R9" i="1"/>
  <c r="T9" i="1" s="1"/>
  <c r="W185" i="1" l="1"/>
  <c r="Y185" i="1" s="1"/>
  <c r="S178" i="1"/>
  <c r="Y184" i="1" s="1"/>
  <c r="AA184" i="1" s="1"/>
  <c r="T178" i="1"/>
  <c r="X99" i="1"/>
  <c r="W100" i="1" s="1"/>
  <c r="Y100" i="1" s="1"/>
  <c r="Z99" i="1"/>
  <c r="Z15" i="1"/>
  <c r="AA99" i="1"/>
  <c r="X185" i="1" l="1"/>
  <c r="X100" i="1"/>
  <c r="W186" i="1"/>
  <c r="Z185" i="1"/>
  <c r="AA185" i="1" s="1"/>
  <c r="W101" i="1"/>
  <c r="Z100" i="1"/>
  <c r="AA100" i="1" s="1"/>
  <c r="X186" i="1" l="1"/>
  <c r="Y186" i="1"/>
  <c r="Y101" i="1"/>
  <c r="X101" i="1"/>
  <c r="Z186" i="1" l="1"/>
  <c r="AA186" i="1" s="1"/>
  <c r="Z101" i="1"/>
  <c r="AA101" i="1" s="1"/>
  <c r="M220" i="1" l="1"/>
  <c r="F220" i="1"/>
  <c r="M218" i="1"/>
  <c r="F218" i="1"/>
  <c r="T216" i="1"/>
  <c r="M216" i="1"/>
  <c r="F216" i="1"/>
  <c r="Q215" i="1"/>
  <c r="X211" i="1" s="1"/>
  <c r="J215" i="1"/>
  <c r="Q214" i="1"/>
  <c r="X210" i="1" s="1"/>
  <c r="J214" i="1"/>
  <c r="M213" i="1"/>
  <c r="F213" i="1"/>
  <c r="M211" i="1"/>
  <c r="J211" i="1"/>
  <c r="F211" i="1"/>
  <c r="X195" i="1"/>
  <c r="T209" i="1"/>
  <c r="M209" i="1"/>
  <c r="F209" i="1"/>
  <c r="M207" i="1"/>
  <c r="F207" i="1"/>
  <c r="T201" i="1"/>
  <c r="M201" i="1"/>
  <c r="F201" i="1"/>
  <c r="F199" i="1"/>
  <c r="F197" i="1"/>
  <c r="J196" i="1"/>
  <c r="J195" i="1"/>
  <c r="F194" i="1"/>
  <c r="F193" i="1"/>
  <c r="J192" i="1"/>
  <c r="X193" i="1" s="1"/>
  <c r="Q187" i="1"/>
  <c r="S187" i="1" s="1"/>
  <c r="P187" i="1"/>
  <c r="R187" i="1" s="1"/>
  <c r="J187" i="1"/>
  <c r="L187" i="1" s="1"/>
  <c r="I187" i="1"/>
  <c r="K187" i="1" s="1"/>
  <c r="E187" i="1"/>
  <c r="C187" i="1"/>
  <c r="B187" i="1"/>
  <c r="D187" i="1" s="1"/>
  <c r="S186" i="1"/>
  <c r="Q186" i="1"/>
  <c r="P186" i="1"/>
  <c r="L186" i="1"/>
  <c r="J186" i="1"/>
  <c r="I186" i="1"/>
  <c r="K186" i="1" s="1"/>
  <c r="E186" i="1"/>
  <c r="C186" i="1"/>
  <c r="B186" i="1"/>
  <c r="D186" i="1" s="1"/>
  <c r="Q185" i="1"/>
  <c r="J185" i="1"/>
  <c r="E185" i="1"/>
  <c r="C185" i="1"/>
  <c r="B185" i="1"/>
  <c r="D185" i="1" s="1"/>
  <c r="S184" i="1"/>
  <c r="Q184" i="1"/>
  <c r="P185" i="1" s="1"/>
  <c r="L184" i="1"/>
  <c r="J184" i="1"/>
  <c r="E184" i="1"/>
  <c r="C184" i="1"/>
  <c r="N180" i="1"/>
  <c r="P180" i="1" s="1"/>
  <c r="K180" i="1"/>
  <c r="M180" i="1" s="1"/>
  <c r="H180" i="1"/>
  <c r="J180" i="1" s="1"/>
  <c r="E180" i="1"/>
  <c r="G180" i="1" s="1"/>
  <c r="N179" i="1"/>
  <c r="P179" i="1" s="1"/>
  <c r="K179" i="1"/>
  <c r="M179" i="1" s="1"/>
  <c r="S185" i="1" s="1"/>
  <c r="H179" i="1"/>
  <c r="J179" i="1" s="1"/>
  <c r="L185" i="1" s="1"/>
  <c r="E179" i="1"/>
  <c r="G179" i="1" s="1"/>
  <c r="O178" i="1"/>
  <c r="L178" i="1"/>
  <c r="R184" i="1" s="1"/>
  <c r="K178" i="1"/>
  <c r="M178" i="1" s="1"/>
  <c r="I178" i="1"/>
  <c r="K184" i="1" s="1"/>
  <c r="H178" i="1"/>
  <c r="J178" i="1" s="1"/>
  <c r="F178" i="1"/>
  <c r="D184" i="1" s="1"/>
  <c r="E178" i="1"/>
  <c r="T135" i="1"/>
  <c r="M135" i="1"/>
  <c r="F135" i="1"/>
  <c r="T133" i="1"/>
  <c r="M133" i="1"/>
  <c r="F133" i="1"/>
  <c r="AA131" i="1"/>
  <c r="T131" i="1"/>
  <c r="M131" i="1"/>
  <c r="F131" i="1"/>
  <c r="X130" i="1"/>
  <c r="Q130" i="1"/>
  <c r="AE126" i="1" s="1"/>
  <c r="J130" i="1"/>
  <c r="X129" i="1"/>
  <c r="Q129" i="1"/>
  <c r="AE125" i="1" s="1"/>
  <c r="J129" i="1"/>
  <c r="T128" i="1"/>
  <c r="M128" i="1"/>
  <c r="F128" i="1"/>
  <c r="X126" i="1"/>
  <c r="T126" i="1"/>
  <c r="M126" i="1"/>
  <c r="J126" i="1"/>
  <c r="F126" i="1"/>
  <c r="X125" i="1"/>
  <c r="Q125" i="1"/>
  <c r="X110" i="1" s="1"/>
  <c r="J125" i="1"/>
  <c r="AA124" i="1"/>
  <c r="T124" i="1"/>
  <c r="M124" i="1"/>
  <c r="F124" i="1"/>
  <c r="T122" i="1"/>
  <c r="M122" i="1"/>
  <c r="F122" i="1"/>
  <c r="T116" i="1"/>
  <c r="M116" i="1"/>
  <c r="F116" i="1"/>
  <c r="F114" i="1"/>
  <c r="F112" i="1"/>
  <c r="J111" i="1"/>
  <c r="J110" i="1"/>
  <c r="F109" i="1"/>
  <c r="F108" i="1"/>
  <c r="J107" i="1"/>
  <c r="J121" i="1" s="1"/>
  <c r="Q102" i="1"/>
  <c r="S102" i="1" s="1"/>
  <c r="P102" i="1"/>
  <c r="R102" i="1" s="1"/>
  <c r="J102" i="1"/>
  <c r="I102" i="1"/>
  <c r="K102" i="1" s="1"/>
  <c r="E102" i="1"/>
  <c r="C102" i="1"/>
  <c r="B102" i="1"/>
  <c r="D102" i="1" s="1"/>
  <c r="S101" i="1"/>
  <c r="Q101" i="1"/>
  <c r="P101" i="1"/>
  <c r="L101" i="1"/>
  <c r="J101" i="1"/>
  <c r="I101" i="1"/>
  <c r="K101" i="1" s="1"/>
  <c r="E101" i="1"/>
  <c r="C101" i="1"/>
  <c r="B101" i="1"/>
  <c r="D101" i="1" s="1"/>
  <c r="Q100" i="1"/>
  <c r="L100" i="1"/>
  <c r="J100" i="1"/>
  <c r="I100" i="1"/>
  <c r="K100" i="1" s="1"/>
  <c r="E100" i="1"/>
  <c r="C100" i="1"/>
  <c r="S99" i="1"/>
  <c r="Q99" i="1"/>
  <c r="P100" i="1" s="1"/>
  <c r="L99" i="1"/>
  <c r="J99" i="1"/>
  <c r="E99" i="1"/>
  <c r="C99" i="1"/>
  <c r="B100" i="1" s="1"/>
  <c r="N95" i="1"/>
  <c r="P95" i="1" s="1"/>
  <c r="K95" i="1"/>
  <c r="M95" i="1" s="1"/>
  <c r="H95" i="1"/>
  <c r="J95" i="1" s="1"/>
  <c r="E95" i="1"/>
  <c r="G95" i="1" s="1"/>
  <c r="N94" i="1"/>
  <c r="P94" i="1" s="1"/>
  <c r="K94" i="1"/>
  <c r="M94" i="1" s="1"/>
  <c r="S100" i="1" s="1"/>
  <c r="H94" i="1"/>
  <c r="J94" i="1" s="1"/>
  <c r="E94" i="1"/>
  <c r="G94" i="1" s="1"/>
  <c r="O93" i="1"/>
  <c r="L93" i="1"/>
  <c r="R99" i="1" s="1"/>
  <c r="K93" i="1"/>
  <c r="M93" i="1" s="1"/>
  <c r="I93" i="1"/>
  <c r="K99" i="1" s="1"/>
  <c r="H93" i="1"/>
  <c r="J93" i="1" s="1"/>
  <c r="F93" i="1"/>
  <c r="D99" i="1" s="1"/>
  <c r="E93" i="1"/>
  <c r="G93" i="1" s="1"/>
  <c r="X41" i="1"/>
  <c r="T44" i="1"/>
  <c r="J42" i="1"/>
  <c r="F42" i="1"/>
  <c r="E9" i="1"/>
  <c r="G9" i="1" s="1"/>
  <c r="F9" i="1"/>
  <c r="H9" i="1"/>
  <c r="J9" i="1" s="1"/>
  <c r="I9" i="1"/>
  <c r="K15" i="1" s="1"/>
  <c r="K9" i="1"/>
  <c r="M9" i="1" s="1"/>
  <c r="L9" i="1"/>
  <c r="R15" i="1" s="1"/>
  <c r="O9" i="1"/>
  <c r="Q9" i="1"/>
  <c r="E10" i="1"/>
  <c r="G10" i="1" s="1"/>
  <c r="H10" i="1"/>
  <c r="J10" i="1" s="1"/>
  <c r="L16" i="1" s="1"/>
  <c r="K10" i="1"/>
  <c r="M10" i="1" s="1"/>
  <c r="S16" i="1" s="1"/>
  <c r="N10" i="1"/>
  <c r="P10" i="1" s="1"/>
  <c r="Q10" i="1"/>
  <c r="S10" i="1" s="1"/>
  <c r="E11" i="1"/>
  <c r="G11" i="1" s="1"/>
  <c r="H11" i="1"/>
  <c r="J11" i="1" s="1"/>
  <c r="K11" i="1"/>
  <c r="M11" i="1" s="1"/>
  <c r="N11" i="1"/>
  <c r="P11" i="1" s="1"/>
  <c r="Q11" i="1"/>
  <c r="S11" i="1" s="1"/>
  <c r="C15" i="1"/>
  <c r="B16" i="1" s="1"/>
  <c r="E15" i="1"/>
  <c r="J15" i="1"/>
  <c r="I16" i="1" s="1"/>
  <c r="L15" i="1"/>
  <c r="Q15" i="1"/>
  <c r="P16" i="1" s="1"/>
  <c r="S15" i="1"/>
  <c r="C16" i="1"/>
  <c r="E16" i="1"/>
  <c r="J16" i="1"/>
  <c r="Q16" i="1"/>
  <c r="P17" i="1" s="1"/>
  <c r="R17" i="1" s="1"/>
  <c r="B17" i="1"/>
  <c r="D17" i="1" s="1"/>
  <c r="C17" i="1"/>
  <c r="E17" i="1"/>
  <c r="I17" i="1"/>
  <c r="K17" i="1" s="1"/>
  <c r="J17" i="1"/>
  <c r="L17" i="1"/>
  <c r="Q17" i="1"/>
  <c r="S17" i="1"/>
  <c r="B18" i="1"/>
  <c r="D18" i="1" s="1"/>
  <c r="C18" i="1"/>
  <c r="E18" i="1"/>
  <c r="I18" i="1"/>
  <c r="K18" i="1" s="1"/>
  <c r="J18" i="1"/>
  <c r="L18" i="1" s="1"/>
  <c r="P18" i="1"/>
  <c r="R18" i="1" s="1"/>
  <c r="Q18" i="1"/>
  <c r="S18" i="1" s="1"/>
  <c r="J23" i="1"/>
  <c r="J37" i="1" s="1"/>
  <c r="F24" i="1"/>
  <c r="F25" i="1"/>
  <c r="J26" i="1"/>
  <c r="J27" i="1"/>
  <c r="F28" i="1"/>
  <c r="F30" i="1"/>
  <c r="F32" i="1"/>
  <c r="M32" i="1"/>
  <c r="T32" i="1"/>
  <c r="F38" i="1"/>
  <c r="M38" i="1"/>
  <c r="T38" i="1"/>
  <c r="F40" i="1"/>
  <c r="M40" i="1"/>
  <c r="T40" i="1"/>
  <c r="AA40" i="1"/>
  <c r="J41" i="1"/>
  <c r="Q41" i="1"/>
  <c r="X26" i="1" s="1"/>
  <c r="M42" i="1"/>
  <c r="T42" i="1"/>
  <c r="X42" i="1"/>
  <c r="F44" i="1"/>
  <c r="M44" i="1"/>
  <c r="J45" i="1"/>
  <c r="Q45" i="1"/>
  <c r="AE41" i="1" s="1"/>
  <c r="X45" i="1"/>
  <c r="J46" i="1"/>
  <c r="Q46" i="1"/>
  <c r="AE42" i="1" s="1"/>
  <c r="X46" i="1"/>
  <c r="F47" i="1"/>
  <c r="M47" i="1"/>
  <c r="T47" i="1"/>
  <c r="AA47" i="1"/>
  <c r="F49" i="1"/>
  <c r="M49" i="1"/>
  <c r="T49" i="1"/>
  <c r="F51" i="1"/>
  <c r="M51" i="1"/>
  <c r="T51" i="1"/>
  <c r="F187" i="1" l="1"/>
  <c r="D100" i="1"/>
  <c r="F100" i="1" s="1"/>
  <c r="N178" i="1"/>
  <c r="P178" i="1" s="1"/>
  <c r="K16" i="1"/>
  <c r="X15" i="1"/>
  <c r="S9" i="1"/>
  <c r="Y15" i="1" s="1"/>
  <c r="F101" i="1"/>
  <c r="F99" i="1"/>
  <c r="X102" i="1"/>
  <c r="W102" i="1"/>
  <c r="Y102" i="1" s="1"/>
  <c r="R185" i="1"/>
  <c r="T185" i="1" s="1"/>
  <c r="X18" i="1"/>
  <c r="W18" i="1"/>
  <c r="Y18" i="1" s="1"/>
  <c r="X187" i="1"/>
  <c r="W187" i="1"/>
  <c r="Y187" i="1" s="1"/>
  <c r="R100" i="1"/>
  <c r="T100" i="1" s="1"/>
  <c r="M101" i="1"/>
  <c r="M187" i="1"/>
  <c r="M184" i="1"/>
  <c r="T187" i="1"/>
  <c r="J206" i="1"/>
  <c r="F102" i="1"/>
  <c r="T99" i="1"/>
  <c r="I185" i="1"/>
  <c r="K185" i="1" s="1"/>
  <c r="F186" i="1"/>
  <c r="Q206" i="1"/>
  <c r="F184" i="1"/>
  <c r="M186" i="1"/>
  <c r="F185" i="1"/>
  <c r="G178" i="1"/>
  <c r="T184" i="1"/>
  <c r="R186" i="1"/>
  <c r="T186" i="1" s="1"/>
  <c r="T102" i="1"/>
  <c r="R16" i="1"/>
  <c r="T16" i="1" s="1"/>
  <c r="M99" i="1"/>
  <c r="M100" i="1"/>
  <c r="X108" i="1"/>
  <c r="N93" i="1"/>
  <c r="P93" i="1" s="1"/>
  <c r="R101" i="1"/>
  <c r="T101" i="1" s="1"/>
  <c r="L102" i="1"/>
  <c r="M102" i="1" s="1"/>
  <c r="Q121" i="1"/>
  <c r="X121" i="1"/>
  <c r="X24" i="1"/>
  <c r="D16" i="1"/>
  <c r="F16" i="1" s="1"/>
  <c r="X37" i="1"/>
  <c r="N9" i="1"/>
  <c r="P9" i="1" s="1"/>
  <c r="F17" i="1"/>
  <c r="T17" i="1"/>
  <c r="T15" i="1"/>
  <c r="Q37" i="1"/>
  <c r="F18" i="1"/>
  <c r="M16" i="1"/>
  <c r="M15" i="1"/>
  <c r="T18" i="1"/>
  <c r="M18" i="1"/>
  <c r="D15" i="1"/>
  <c r="F15" i="1" s="1"/>
  <c r="M17" i="1"/>
  <c r="AA18" i="1" l="1"/>
  <c r="F103" i="1"/>
  <c r="J109" i="1" s="1"/>
  <c r="J113" i="1" s="1"/>
  <c r="J115" i="1" s="1"/>
  <c r="AA102" i="1"/>
  <c r="AA103" i="1" s="1"/>
  <c r="Q108" i="1" s="1"/>
  <c r="W16" i="1"/>
  <c r="AA15" i="1"/>
  <c r="AA187" i="1"/>
  <c r="AA188" i="1" s="1"/>
  <c r="M185" i="1"/>
  <c r="M188" i="1" s="1"/>
  <c r="Q213" i="1" s="1"/>
  <c r="X209" i="1" s="1"/>
  <c r="M103" i="1"/>
  <c r="Q128" i="1" s="1"/>
  <c r="AE124" i="1" s="1"/>
  <c r="T103" i="1"/>
  <c r="J128" i="1" s="1"/>
  <c r="F188" i="1"/>
  <c r="J194" i="1" s="1"/>
  <c r="J198" i="1" s="1"/>
  <c r="J200" i="1" s="1"/>
  <c r="J208" i="1" s="1"/>
  <c r="Q212" i="1"/>
  <c r="J212" i="1"/>
  <c r="Q200" i="1"/>
  <c r="T188" i="1"/>
  <c r="J123" i="1"/>
  <c r="X123" i="1"/>
  <c r="Q123" i="1"/>
  <c r="M19" i="1"/>
  <c r="Q44" i="1" s="1"/>
  <c r="AE40" i="1" s="1"/>
  <c r="T19" i="1"/>
  <c r="F19" i="1"/>
  <c r="J25" i="1" s="1"/>
  <c r="J29" i="1" s="1"/>
  <c r="J31" i="1" s="1"/>
  <c r="X39" i="1" s="1"/>
  <c r="X128" i="1" l="1"/>
  <c r="X132" i="1" s="1"/>
  <c r="Y16" i="1"/>
  <c r="X16" i="1"/>
  <c r="Q217" i="1"/>
  <c r="X134" i="1"/>
  <c r="Q208" i="1"/>
  <c r="J213" i="1"/>
  <c r="X197" i="1"/>
  <c r="X200" i="1" s="1"/>
  <c r="X207" i="1" s="1"/>
  <c r="X214" i="1" s="1"/>
  <c r="J217" i="1"/>
  <c r="J219" i="1" s="1"/>
  <c r="Q127" i="1"/>
  <c r="Q132" i="1" s="1"/>
  <c r="Q134" i="1" s="1"/>
  <c r="J127" i="1"/>
  <c r="Q115" i="1"/>
  <c r="J44" i="1"/>
  <c r="X44" i="1"/>
  <c r="X48" i="1" s="1"/>
  <c r="X50" i="1" s="1"/>
  <c r="Q39" i="1"/>
  <c r="J39" i="1"/>
  <c r="Q219" i="1" l="1"/>
  <c r="M225" i="1" s="1"/>
  <c r="Z16" i="1"/>
  <c r="AA16" i="1" s="1"/>
  <c r="W17" i="1"/>
  <c r="X112" i="1"/>
  <c r="X115" i="1" s="1"/>
  <c r="AE122" i="1" s="1"/>
  <c r="AE129" i="1" s="1"/>
  <c r="J132" i="1"/>
  <c r="J134" i="1" s="1"/>
  <c r="M140" i="1" s="1"/>
  <c r="Y17" i="1" l="1"/>
  <c r="X17" i="1"/>
  <c r="Z17" i="1" l="1"/>
  <c r="AA17" i="1"/>
  <c r="AA19" i="1" s="1"/>
  <c r="Q24" i="1" s="1"/>
  <c r="Q43" i="1" l="1"/>
  <c r="Q48" i="1" s="1"/>
  <c r="Q50" i="1" s="1"/>
  <c r="J43" i="1"/>
  <c r="Q31" i="1"/>
  <c r="X28" i="1" l="1"/>
  <c r="X31" i="1" s="1"/>
  <c r="AE38" i="1" s="1"/>
  <c r="AE45" i="1" s="1"/>
  <c r="J48" i="1"/>
  <c r="J50" i="1" s="1"/>
  <c r="M56" i="1" s="1"/>
</calcChain>
</file>

<file path=xl/comments1.xml><?xml version="1.0" encoding="utf-8"?>
<comments xmlns="http://schemas.openxmlformats.org/spreadsheetml/2006/main">
  <authors>
    <author>SMK</author>
  </authors>
  <commentList>
    <comment ref="B8" authorId="0" shapeId="0">
      <text>
        <r>
          <rPr>
            <sz val="9"/>
            <color indexed="81"/>
            <rFont val="Tahoma"/>
            <family val="2"/>
          </rPr>
          <t>Offer MW submitted in Markets Gateway</t>
        </r>
      </text>
    </comment>
    <comment ref="C8" authorId="0" shapeId="0">
      <text>
        <r>
          <rPr>
            <sz val="9"/>
            <color indexed="81"/>
            <rFont val="Tahoma"/>
            <family val="2"/>
          </rPr>
          <t>MW of next Segment</t>
        </r>
      </text>
    </comment>
    <comment ref="B14" authorId="0" shapeId="0">
      <text>
        <r>
          <rPr>
            <sz val="9"/>
            <color indexed="81"/>
            <rFont val="Tahoma"/>
            <family val="2"/>
          </rPr>
          <t>Offer MW submitted in Markets Gateway</t>
        </r>
      </text>
    </comment>
    <comment ref="C14" authorId="0" shapeId="0">
      <text>
        <r>
          <rPr>
            <sz val="9"/>
            <color indexed="81"/>
            <rFont val="Tahoma"/>
            <family val="2"/>
          </rPr>
          <t>MW of next Segment</t>
        </r>
      </text>
    </comment>
    <comment ref="I14" authorId="0" shapeId="0">
      <text>
        <r>
          <rPr>
            <sz val="9"/>
            <color indexed="81"/>
            <rFont val="Tahoma"/>
            <family val="2"/>
          </rPr>
          <t>Offer MW submitted in Markets Gateway</t>
        </r>
      </text>
    </comment>
    <comment ref="J14" authorId="0" shapeId="0">
      <text>
        <r>
          <rPr>
            <sz val="9"/>
            <color indexed="81"/>
            <rFont val="Tahoma"/>
            <family val="2"/>
          </rPr>
          <t>MW of next Segment</t>
        </r>
      </text>
    </comment>
    <comment ref="P14" authorId="0" shapeId="0">
      <text>
        <r>
          <rPr>
            <sz val="9"/>
            <color indexed="81"/>
            <rFont val="Tahoma"/>
            <family val="2"/>
          </rPr>
          <t>Offer MW submitted in Markets Gateway</t>
        </r>
      </text>
    </comment>
    <comment ref="Q14" authorId="0" shapeId="0">
      <text>
        <r>
          <rPr>
            <sz val="9"/>
            <color indexed="81"/>
            <rFont val="Tahoma"/>
            <family val="2"/>
          </rPr>
          <t>MW of next Segment</t>
        </r>
      </text>
    </comment>
    <comment ref="W14" authorId="0" shapeId="0">
      <text>
        <r>
          <rPr>
            <sz val="9"/>
            <color indexed="81"/>
            <rFont val="Tahoma"/>
            <family val="2"/>
          </rPr>
          <t>Offer MW submitted in Markets Gateway</t>
        </r>
      </text>
    </comment>
    <comment ref="X14" authorId="0" shapeId="0">
      <text>
        <r>
          <rPr>
            <sz val="9"/>
            <color indexed="81"/>
            <rFont val="Tahoma"/>
            <family val="2"/>
          </rPr>
          <t>MW of next Segment</t>
        </r>
      </text>
    </comment>
    <comment ref="B92" authorId="0" shapeId="0">
      <text>
        <r>
          <rPr>
            <sz val="9"/>
            <color indexed="81"/>
            <rFont val="Tahoma"/>
            <family val="2"/>
          </rPr>
          <t>Offer MW submitted in Markets Gateway</t>
        </r>
      </text>
    </comment>
    <comment ref="C92" authorId="0" shapeId="0">
      <text>
        <r>
          <rPr>
            <sz val="9"/>
            <color indexed="81"/>
            <rFont val="Tahoma"/>
            <family val="2"/>
          </rPr>
          <t>MW of next Segment</t>
        </r>
      </text>
    </comment>
    <comment ref="B98" authorId="0" shapeId="0">
      <text>
        <r>
          <rPr>
            <sz val="9"/>
            <color indexed="81"/>
            <rFont val="Tahoma"/>
            <family val="2"/>
          </rPr>
          <t>Offer MW submitted in Markets Gateway</t>
        </r>
      </text>
    </comment>
    <comment ref="C98" authorId="0" shapeId="0">
      <text>
        <r>
          <rPr>
            <sz val="9"/>
            <color indexed="81"/>
            <rFont val="Tahoma"/>
            <family val="2"/>
          </rPr>
          <t>MW of next Segment</t>
        </r>
      </text>
    </comment>
    <comment ref="I98" authorId="0" shapeId="0">
      <text>
        <r>
          <rPr>
            <sz val="9"/>
            <color indexed="81"/>
            <rFont val="Tahoma"/>
            <family val="2"/>
          </rPr>
          <t>Offer MW submitted in Markets Gateway</t>
        </r>
      </text>
    </comment>
    <comment ref="J98" authorId="0" shapeId="0">
      <text>
        <r>
          <rPr>
            <sz val="9"/>
            <color indexed="81"/>
            <rFont val="Tahoma"/>
            <family val="2"/>
          </rPr>
          <t>MW of next Segment</t>
        </r>
      </text>
    </comment>
    <comment ref="P98" authorId="0" shapeId="0">
      <text>
        <r>
          <rPr>
            <sz val="9"/>
            <color indexed="81"/>
            <rFont val="Tahoma"/>
            <family val="2"/>
          </rPr>
          <t>Offer MW submitted in Markets Gateway</t>
        </r>
      </text>
    </comment>
    <comment ref="Q98" authorId="0" shapeId="0">
      <text>
        <r>
          <rPr>
            <sz val="9"/>
            <color indexed="81"/>
            <rFont val="Tahoma"/>
            <family val="2"/>
          </rPr>
          <t>MW of next Segment</t>
        </r>
      </text>
    </comment>
    <comment ref="W98" authorId="0" shapeId="0">
      <text>
        <r>
          <rPr>
            <sz val="9"/>
            <color indexed="81"/>
            <rFont val="Tahoma"/>
            <family val="2"/>
          </rPr>
          <t>Offer MW submitted in Markets Gateway</t>
        </r>
      </text>
    </comment>
    <comment ref="X98" authorId="0" shapeId="0">
      <text>
        <r>
          <rPr>
            <sz val="9"/>
            <color indexed="81"/>
            <rFont val="Tahoma"/>
            <family val="2"/>
          </rPr>
          <t>MW of next Segment</t>
        </r>
      </text>
    </comment>
    <comment ref="B177" authorId="0" shapeId="0">
      <text>
        <r>
          <rPr>
            <sz val="9"/>
            <color indexed="81"/>
            <rFont val="Tahoma"/>
            <family val="2"/>
          </rPr>
          <t>Offer MW submitted in Markets Gateway</t>
        </r>
      </text>
    </comment>
    <comment ref="C177" authorId="0" shapeId="0">
      <text>
        <r>
          <rPr>
            <sz val="9"/>
            <color indexed="81"/>
            <rFont val="Tahoma"/>
            <family val="2"/>
          </rPr>
          <t>MW of next Segment</t>
        </r>
      </text>
    </comment>
    <comment ref="B183" authorId="0" shapeId="0">
      <text>
        <r>
          <rPr>
            <sz val="9"/>
            <color indexed="81"/>
            <rFont val="Tahoma"/>
            <family val="2"/>
          </rPr>
          <t>Offer MW submitted in Markets Gateway</t>
        </r>
      </text>
    </comment>
    <comment ref="C183" authorId="0" shapeId="0">
      <text>
        <r>
          <rPr>
            <sz val="9"/>
            <color indexed="81"/>
            <rFont val="Tahoma"/>
            <family val="2"/>
          </rPr>
          <t>MW of next Segment</t>
        </r>
      </text>
    </comment>
    <comment ref="I183" authorId="0" shapeId="0">
      <text>
        <r>
          <rPr>
            <sz val="9"/>
            <color indexed="81"/>
            <rFont val="Tahoma"/>
            <family val="2"/>
          </rPr>
          <t>Offer MW submitted in Markets Gateway</t>
        </r>
      </text>
    </comment>
    <comment ref="J183" authorId="0" shapeId="0">
      <text>
        <r>
          <rPr>
            <sz val="9"/>
            <color indexed="81"/>
            <rFont val="Tahoma"/>
            <family val="2"/>
          </rPr>
          <t>MW of next Segment</t>
        </r>
      </text>
    </comment>
    <comment ref="P183" authorId="0" shapeId="0">
      <text>
        <r>
          <rPr>
            <sz val="9"/>
            <color indexed="81"/>
            <rFont val="Tahoma"/>
            <family val="2"/>
          </rPr>
          <t>Offer MW submitted in Markets Gateway</t>
        </r>
      </text>
    </comment>
    <comment ref="Q183" authorId="0" shapeId="0">
      <text>
        <r>
          <rPr>
            <sz val="9"/>
            <color indexed="81"/>
            <rFont val="Tahoma"/>
            <family val="2"/>
          </rPr>
          <t>MW of next Segment</t>
        </r>
      </text>
    </comment>
    <comment ref="W183" authorId="0" shapeId="0">
      <text>
        <r>
          <rPr>
            <sz val="9"/>
            <color indexed="81"/>
            <rFont val="Tahoma"/>
            <family val="2"/>
          </rPr>
          <t>Offer MW submitted in Markets Gateway</t>
        </r>
      </text>
    </comment>
    <comment ref="X183" authorId="0" shapeId="0">
      <text>
        <r>
          <rPr>
            <sz val="9"/>
            <color indexed="81"/>
            <rFont val="Tahoma"/>
            <family val="2"/>
          </rPr>
          <t>MW of next Segment</t>
        </r>
      </text>
    </comment>
  </commentList>
</comments>
</file>

<file path=xl/sharedStrings.xml><?xml version="1.0" encoding="utf-8"?>
<sst xmlns="http://schemas.openxmlformats.org/spreadsheetml/2006/main" count="409" uniqueCount="74">
  <si>
    <t>Offer</t>
  </si>
  <si>
    <t>DA OpRes</t>
  </si>
  <si>
    <t>Real-Time</t>
  </si>
  <si>
    <t>Bal OpRes @ Tracking Desired</t>
  </si>
  <si>
    <t>Bal OpRes @ Adj Tracking Desired</t>
  </si>
  <si>
    <t>Segment</t>
  </si>
  <si>
    <t>Begin MW</t>
  </si>
  <si>
    <t>End MW</t>
  </si>
  <si>
    <t>Price</t>
  </si>
  <si>
    <t>MW</t>
  </si>
  <si>
    <t>Begin Price</t>
  </si>
  <si>
    <t>End Price</t>
  </si>
  <si>
    <t>Begin
Price</t>
  </si>
  <si>
    <t>End
Price</t>
  </si>
  <si>
    <t>Begin
MW</t>
  </si>
  <si>
    <t>End
MW</t>
  </si>
  <si>
    <t>Real-Time MW Cost</t>
  </si>
  <si>
    <t>Tracking Desired MW Cost</t>
  </si>
  <si>
    <t>Offer
Cost</t>
  </si>
  <si>
    <t>The following Data can be updated for Scenario Analysis</t>
  </si>
  <si>
    <t xml:space="preserve">Day-Ahead Operating Reserve </t>
  </si>
  <si>
    <t>Operating Reserves  LOC</t>
  </si>
  <si>
    <t>PJM Bill</t>
  </si>
  <si>
    <t>Day-ahead Information</t>
  </si>
  <si>
    <t>Columns</t>
  </si>
  <si>
    <t>Values</t>
  </si>
  <si>
    <t>DA Revenue (MW * LMP)</t>
  </si>
  <si>
    <t>LMP</t>
  </si>
  <si>
    <t>Day-Ahead Spot Market Revenue</t>
  </si>
  <si>
    <t>Startup</t>
  </si>
  <si>
    <t>No-Load</t>
  </si>
  <si>
    <t>DA No-Load Cost</t>
  </si>
  <si>
    <t>Balancing Spot Market Revenue</t>
  </si>
  <si>
    <t>DA Economic Minimum</t>
  </si>
  <si>
    <t>DA Startup Cost</t>
  </si>
  <si>
    <t>DA Economic Maximum</t>
  </si>
  <si>
    <t>Balancing Operating Reserve LOC Credit</t>
  </si>
  <si>
    <t>DA Net Revenue (Revenue - Cost)</t>
  </si>
  <si>
    <t>Real-time Information</t>
  </si>
  <si>
    <t>Day-Ahead Operating Reserve Credit</t>
  </si>
  <si>
    <t>Billed Net Revenue</t>
  </si>
  <si>
    <t>Actual RT MW</t>
  </si>
  <si>
    <t>Tracking Desired MW</t>
  </si>
  <si>
    <t>Step 2</t>
  </si>
  <si>
    <t>Balancing Operating Reserves @ Tracking Desired</t>
  </si>
  <si>
    <t>Balancing Operating Reserves @ RT MW</t>
  </si>
  <si>
    <t>Profit/Loss</t>
  </si>
  <si>
    <t>RT Economic Minimum</t>
  </si>
  <si>
    <t>RT Economic Maximum</t>
  </si>
  <si>
    <t>Balancing Revenue (Tracking Desired  - DA MW) * LMP)</t>
  </si>
  <si>
    <t>Balancing Revenue (RT MW  - DA MW) * LMP)</t>
  </si>
  <si>
    <t>RT No-Load Cost</t>
  </si>
  <si>
    <t>RT Startup Cost</t>
  </si>
  <si>
    <r>
      <t>Profit/</t>
    </r>
    <r>
      <rPr>
        <sz val="11"/>
        <color rgb="FFFF0000"/>
        <rFont val="Calibri"/>
        <family val="2"/>
        <scheme val="minor"/>
      </rPr>
      <t>(Loss)</t>
    </r>
  </si>
  <si>
    <t>Bal Net Revenue (Revenue - Cost)</t>
  </si>
  <si>
    <t>Bal Operating Reserve Credit</t>
  </si>
  <si>
    <t>Min of Step 1 and Step 2</t>
  </si>
  <si>
    <t>Step 3:</t>
  </si>
  <si>
    <t>Balancing Operating Reserve Credit</t>
  </si>
  <si>
    <t>This is the Operating Reserve Credit, if the segment only contained this single interval.  The Operating Reserve Credit calculation generally contains multiple intervals within a segment.</t>
  </si>
  <si>
    <t>Step 1</t>
  </si>
  <si>
    <t>Double Counting</t>
  </si>
  <si>
    <t>LOC Desired MW</t>
  </si>
  <si>
    <t>LOC</t>
  </si>
  <si>
    <t>LOC MW Cost</t>
  </si>
  <si>
    <t>Resource requested to Increase Output Manually to 65MW (Not Following Dispatch)</t>
  </si>
  <si>
    <t>Resource Reduced or Suspended to 65 MW with LOC (Not Following Dispatch)</t>
  </si>
  <si>
    <t>Resource Reduced or Suspended to 65 MW with LOC (Following Dispatch)</t>
  </si>
  <si>
    <r>
      <rPr>
        <b/>
        <sz val="14"/>
        <color theme="1"/>
        <rFont val="Calibri"/>
        <family val="2"/>
        <scheme val="minor"/>
      </rPr>
      <t>Example 1:</t>
    </r>
    <r>
      <rPr>
        <sz val="14"/>
        <color theme="1"/>
        <rFont val="Calibri"/>
        <family val="2"/>
        <scheme val="minor"/>
      </rPr>
      <t xml:space="preserve"> Unit is manually dispatched down and is following dispatch</t>
    </r>
  </si>
  <si>
    <r>
      <rPr>
        <b/>
        <sz val="14"/>
        <color theme="1"/>
        <rFont val="Calibri"/>
        <family val="2"/>
        <scheme val="minor"/>
      </rPr>
      <t>Example 2:</t>
    </r>
    <r>
      <rPr>
        <sz val="14"/>
        <color theme="1"/>
        <rFont val="Calibri"/>
        <family val="2"/>
        <scheme val="minor"/>
      </rPr>
      <t xml:space="preserve"> Unit is manually dispatched down and is undergenerating (not following dispatch)</t>
    </r>
  </si>
  <si>
    <r>
      <rPr>
        <b/>
        <sz val="14"/>
        <color theme="1"/>
        <rFont val="Calibri"/>
        <family val="2"/>
        <scheme val="minor"/>
      </rPr>
      <t>Example 3:</t>
    </r>
    <r>
      <rPr>
        <sz val="14"/>
        <color theme="1"/>
        <rFont val="Calibri"/>
        <family val="2"/>
        <scheme val="minor"/>
      </rPr>
      <t xml:space="preserve"> Unit is manually dispatched up and is overgenerating (not following dispatch)</t>
    </r>
  </si>
  <si>
    <t>Balancing Operating Reserves Status Quo</t>
  </si>
  <si>
    <t>Balancing Revenue Desired  - DA MW) * LMP)</t>
  </si>
  <si>
    <t>Balancing Revenue (Desired  - DA MW) * LMP)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</si>
</sst>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7" formatCode="&quot;$&quot;#,##0.00_);\(&quot;$&quot;#,##0.00\)"/>
    <numFmt numFmtId="8" formatCode="&quot;$&quot;#,##0.00_);[Red]\(&quot;$&quot;#,##0.00\)"/>
    <numFmt numFmtId="44" formatCode="_(&quot;$&quot;* #,##0.00_);_(&quot;$&quot;* \(#,##0.00\);_(&quot;$&quot;* &quot;-&quot;??_);_(@_)"/>
    <numFmt numFmtId="164" formatCode="&quot;$&quot;#,##0.00_);[Red]\(&quot;$&quot;#,##0.00\);_(&quot;$&quot;&quot;-&quot;_)"/>
    <numFmt numFmtId="165" formatCode="&quot;$&quot;#,##0.00_);[Red]\(&quot;$&quot;#,##0.00\);_(&quot;$&quot;* &quot;-&quot;_)"/>
  </numFmts>
  <fonts count="16"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6"/>
      <name val="Calibri"/>
      <family val="2"/>
      <scheme val="minor"/>
    </font>
    <font>
      <i/>
      <sz val="8"/>
      <color theme="1"/>
      <name val="Calibri"/>
      <family val="2"/>
      <scheme val="minor"/>
    </font>
    <font>
      <b/>
      <sz val="11"/>
      <name val="Calibri"/>
      <family val="2"/>
      <scheme val="minor"/>
    </font>
    <font>
      <b/>
      <u/>
      <sz val="11"/>
      <color theme="1"/>
      <name val="Calibri"/>
      <family val="2"/>
      <scheme val="minor"/>
    </font>
    <font>
      <b/>
      <sz val="11"/>
      <color rgb="FF00B050"/>
      <name val="Calibri"/>
      <family val="2"/>
      <scheme val="minor"/>
    </font>
    <font>
      <b/>
      <sz val="11"/>
      <color rgb="FFFF0000"/>
      <name val="Calibri"/>
      <family val="2"/>
      <scheme val="minor"/>
    </font>
    <font>
      <sz val="11"/>
      <color rgb="FF00B050"/>
      <name val="Calibri"/>
      <family val="2"/>
      <scheme val="minor"/>
    </font>
    <font>
      <sz val="9"/>
      <color indexed="81"/>
      <name val="Tahoma"/>
      <family val="2"/>
    </font>
    <font>
      <sz val="14"/>
      <color theme="1"/>
      <name val="Calibri"/>
      <family val="2"/>
      <scheme val="minor"/>
    </font>
    <font>
      <b/>
      <sz val="14"/>
      <color theme="1"/>
      <name val="Calibri"/>
      <family val="2"/>
      <scheme val="minor"/>
    </font>
    <font>
      <b/>
      <sz val="14"/>
      <color rgb="FF00B0F0"/>
      <name val="Calibri"/>
      <family val="2"/>
      <scheme val="minor"/>
    </font>
  </fonts>
  <fills count="7">
    <fill>
      <patternFill patternType="none"/>
    </fill>
    <fill>
      <patternFill patternType="gray125"/>
    </fill>
    <fill>
      <patternFill patternType="solid">
        <fgColor theme="9"/>
      </patternFill>
    </fill>
    <fill>
      <patternFill patternType="solid">
        <fgColor theme="4" tint="0.79998168889431442"/>
        <bgColor indexed="64"/>
      </patternFill>
    </fill>
    <fill>
      <patternFill patternType="solid">
        <fgColor rgb="FFF8F8F8"/>
        <bgColor indexed="64"/>
      </patternFill>
    </fill>
    <fill>
      <patternFill patternType="solid">
        <fgColor rgb="FFFFFF00"/>
        <bgColor indexed="64"/>
      </patternFill>
    </fill>
    <fill>
      <patternFill patternType="solid">
        <fgColor theme="9"/>
        <bgColor indexed="64"/>
      </patternFill>
    </fill>
  </fills>
  <borders count="3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medium">
        <color indexed="64"/>
      </right>
      <top style="thin">
        <color indexed="64"/>
      </top>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4" fillId="2" borderId="0" applyNumberFormat="0" applyBorder="0" applyAlignment="0" applyProtection="0"/>
  </cellStyleXfs>
  <cellXfs count="187">
    <xf numFmtId="0" fontId="0" fillId="0" borderId="0" xfId="0"/>
    <xf numFmtId="0" fontId="5" fillId="0" borderId="1" xfId="3" applyFont="1" applyFill="1" applyBorder="1" applyAlignment="1">
      <alignment horizontal="centerContinuous" wrapText="1"/>
    </xf>
    <xf numFmtId="0" fontId="5" fillId="0" borderId="0" xfId="3" applyFont="1" applyFill="1" applyBorder="1" applyAlignment="1">
      <alignment horizontal="centerContinuous" wrapText="1"/>
    </xf>
    <xf numFmtId="0" fontId="3" fillId="0" borderId="2" xfId="0" applyFont="1" applyBorder="1" applyAlignment="1">
      <alignment horizontal="centerContinuous" wrapText="1"/>
    </xf>
    <xf numFmtId="0" fontId="3" fillId="0" borderId="3" xfId="0" applyFont="1" applyBorder="1" applyAlignment="1">
      <alignment horizontal="centerContinuous" wrapText="1"/>
    </xf>
    <xf numFmtId="0" fontId="3" fillId="0" borderId="4" xfId="0" applyFont="1" applyBorder="1" applyAlignment="1">
      <alignment horizontal="centerContinuous" wrapText="1"/>
    </xf>
    <xf numFmtId="0" fontId="3" fillId="0" borderId="5" xfId="0" applyFont="1" applyBorder="1" applyAlignment="1">
      <alignment horizontal="centerContinuous"/>
    </xf>
    <xf numFmtId="0" fontId="3" fillId="0" borderId="6" xfId="0" applyFont="1" applyBorder="1" applyAlignment="1">
      <alignment horizontal="centerContinuous"/>
    </xf>
    <xf numFmtId="0" fontId="3" fillId="0" borderId="7" xfId="0" applyFont="1" applyBorder="1" applyAlignment="1">
      <alignment horizontal="centerContinuous"/>
    </xf>
    <xf numFmtId="0" fontId="3" fillId="0" borderId="2" xfId="0" applyFont="1" applyBorder="1" applyAlignment="1">
      <alignment horizontal="centerContinuous"/>
    </xf>
    <xf numFmtId="0" fontId="3" fillId="0" borderId="3" xfId="0" applyFont="1" applyBorder="1" applyAlignment="1">
      <alignment horizontal="centerContinuous"/>
    </xf>
    <xf numFmtId="0" fontId="3" fillId="0" borderId="4" xfId="0" applyFont="1" applyBorder="1" applyAlignment="1">
      <alignment horizontal="centerContinuous"/>
    </xf>
    <xf numFmtId="0" fontId="3" fillId="0" borderId="2" xfId="0" applyFont="1" applyBorder="1" applyAlignment="1">
      <alignment horizontal="center"/>
    </xf>
    <xf numFmtId="0" fontId="3" fillId="0" borderId="3" xfId="0" applyFont="1" applyBorder="1" applyAlignment="1">
      <alignment horizontal="center" wrapText="1"/>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2" xfId="0" applyFont="1" applyBorder="1" applyAlignment="1">
      <alignment horizontal="center" wrapText="1"/>
    </xf>
    <xf numFmtId="0" fontId="3" fillId="0" borderId="4" xfId="0" applyFont="1" applyBorder="1" applyAlignment="1">
      <alignment horizontal="center" wrapText="1"/>
    </xf>
    <xf numFmtId="0" fontId="3" fillId="0" borderId="5" xfId="0" applyFont="1" applyBorder="1"/>
    <xf numFmtId="0" fontId="0" fillId="0" borderId="6" xfId="0" applyBorder="1"/>
    <xf numFmtId="164" fontId="0" fillId="0" borderId="7" xfId="0" applyNumberFormat="1" applyFill="1" applyBorder="1" applyAlignment="1">
      <alignment horizontal="centerContinuous"/>
    </xf>
    <xf numFmtId="0" fontId="0" fillId="0" borderId="5" xfId="1" applyNumberFormat="1" applyFont="1" applyBorder="1"/>
    <xf numFmtId="164" fontId="0" fillId="0" borderId="6" xfId="0" applyNumberFormat="1" applyFill="1" applyBorder="1" applyAlignment="1">
      <alignment horizontal="centerContinuous"/>
    </xf>
    <xf numFmtId="0" fontId="0" fillId="0" borderId="5" xfId="0" applyNumberFormat="1" applyFill="1" applyBorder="1" applyAlignment="1">
      <alignment horizontal="right"/>
    </xf>
    <xf numFmtId="0" fontId="0" fillId="0" borderId="5" xfId="0" applyBorder="1"/>
    <xf numFmtId="0" fontId="0" fillId="0" borderId="7" xfId="0" applyBorder="1"/>
    <xf numFmtId="0" fontId="3" fillId="0" borderId="8" xfId="0" applyFont="1" applyBorder="1"/>
    <xf numFmtId="0" fontId="0" fillId="0" borderId="0" xfId="0" applyBorder="1"/>
    <xf numFmtId="164" fontId="0" fillId="0" borderId="9" xfId="0" applyNumberFormat="1" applyFill="1" applyBorder="1" applyAlignment="1">
      <alignment horizontal="centerContinuous"/>
    </xf>
    <xf numFmtId="0" fontId="0" fillId="0" borderId="8" xfId="1" applyNumberFormat="1" applyFont="1" applyBorder="1"/>
    <xf numFmtId="164" fontId="0" fillId="0" borderId="0" xfId="0" applyNumberFormat="1" applyFill="1" applyBorder="1" applyAlignment="1">
      <alignment horizontal="centerContinuous"/>
    </xf>
    <xf numFmtId="0" fontId="0" fillId="0" borderId="8" xfId="0" applyBorder="1"/>
    <xf numFmtId="0" fontId="0" fillId="0" borderId="9" xfId="0" applyBorder="1"/>
    <xf numFmtId="0" fontId="3" fillId="0" borderId="10" xfId="0" applyFont="1" applyBorder="1"/>
    <xf numFmtId="0" fontId="0" fillId="0" borderId="11" xfId="0" applyBorder="1"/>
    <xf numFmtId="164" fontId="0" fillId="0" borderId="12" xfId="0" applyNumberFormat="1" applyFill="1" applyBorder="1" applyAlignment="1">
      <alignment horizontal="centerContinuous"/>
    </xf>
    <xf numFmtId="0" fontId="0" fillId="0" borderId="10" xfId="1" applyNumberFormat="1" applyFont="1" applyBorder="1"/>
    <xf numFmtId="164" fontId="0" fillId="0" borderId="11" xfId="0" applyNumberFormat="1" applyFill="1" applyBorder="1" applyAlignment="1">
      <alignment horizontal="centerContinuous"/>
    </xf>
    <xf numFmtId="0" fontId="0" fillId="0" borderId="10" xfId="0" applyBorder="1"/>
    <xf numFmtId="0" fontId="0" fillId="0" borderId="12" xfId="0" applyBorder="1"/>
    <xf numFmtId="0" fontId="0" fillId="0" borderId="0" xfId="0" applyNumberFormat="1"/>
    <xf numFmtId="0" fontId="0" fillId="0" borderId="4" xfId="0" applyBorder="1" applyAlignment="1">
      <alignment horizontal="centerContinuous"/>
    </xf>
    <xf numFmtId="0" fontId="3" fillId="0" borderId="5" xfId="0" applyFont="1" applyBorder="1" applyAlignment="1">
      <alignment horizontal="center" wrapText="1"/>
    </xf>
    <xf numFmtId="0" fontId="0" fillId="0" borderId="7" xfId="0" applyBorder="1" applyAlignment="1">
      <alignment horizontal="centerContinuous"/>
    </xf>
    <xf numFmtId="0" fontId="3" fillId="0" borderId="5" xfId="1" applyNumberFormat="1" applyFont="1" applyBorder="1"/>
    <xf numFmtId="0" fontId="0" fillId="0" borderId="6" xfId="1" applyNumberFormat="1" applyFont="1" applyBorder="1"/>
    <xf numFmtId="0" fontId="0" fillId="0" borderId="9" xfId="0" applyBorder="1" applyAlignment="1">
      <alignment horizontal="centerContinuous"/>
    </xf>
    <xf numFmtId="0" fontId="3" fillId="0" borderId="8" xfId="1" applyNumberFormat="1" applyFont="1" applyBorder="1"/>
    <xf numFmtId="0" fontId="0" fillId="0" borderId="0" xfId="1" applyNumberFormat="1" applyFont="1" applyBorder="1"/>
    <xf numFmtId="7" fontId="0" fillId="0" borderId="11" xfId="1" applyNumberFormat="1" applyFont="1" applyBorder="1"/>
    <xf numFmtId="164" fontId="0" fillId="0" borderId="13" xfId="0" applyNumberFormat="1" applyFill="1" applyBorder="1" applyAlignment="1">
      <alignment horizontal="centerContinuous"/>
    </xf>
    <xf numFmtId="0" fontId="0" fillId="0" borderId="14" xfId="0" applyBorder="1" applyAlignment="1">
      <alignment horizontal="centerContinuous"/>
    </xf>
    <xf numFmtId="165" fontId="0" fillId="0" borderId="10" xfId="1" applyNumberFormat="1" applyFont="1" applyBorder="1"/>
    <xf numFmtId="165" fontId="0" fillId="0" borderId="11" xfId="1" applyNumberFormat="1" applyFont="1" applyBorder="1"/>
    <xf numFmtId="0" fontId="6" fillId="0" borderId="0" xfId="0" applyFont="1" applyAlignment="1">
      <alignment horizontal="centerContinuous"/>
    </xf>
    <xf numFmtId="0" fontId="0" fillId="0" borderId="0" xfId="0" applyAlignment="1">
      <alignment horizontal="centerContinuous"/>
    </xf>
    <xf numFmtId="0" fontId="0" fillId="0" borderId="0" xfId="0" applyAlignment="1"/>
    <xf numFmtId="0" fontId="7" fillId="0" borderId="4" xfId="0" applyFont="1" applyFill="1" applyBorder="1" applyAlignment="1">
      <alignment horizontal="centerContinuous" wrapText="1"/>
    </xf>
    <xf numFmtId="0" fontId="7" fillId="0" borderId="0" xfId="0" applyFont="1" applyFill="1" applyBorder="1" applyAlignment="1">
      <alignment horizontal="center" wrapText="1"/>
    </xf>
    <xf numFmtId="0" fontId="3" fillId="3" borderId="2" xfId="0" applyFont="1" applyFill="1" applyBorder="1" applyAlignment="1">
      <alignment horizontal="centerContinuous"/>
    </xf>
    <xf numFmtId="0" fontId="3" fillId="3" borderId="3" xfId="0" applyFont="1" applyFill="1" applyBorder="1" applyAlignment="1">
      <alignment horizontal="centerContinuous"/>
    </xf>
    <xf numFmtId="0" fontId="7" fillId="3" borderId="4" xfId="0" applyFont="1" applyFill="1" applyBorder="1" applyAlignment="1">
      <alignment horizontal="centerContinuous" wrapText="1"/>
    </xf>
    <xf numFmtId="0" fontId="8" fillId="0" borderId="0" xfId="0" applyFont="1" applyFill="1" applyBorder="1" applyAlignment="1"/>
    <xf numFmtId="0" fontId="3" fillId="0" borderId="5" xfId="0" applyFont="1" applyBorder="1" applyAlignment="1">
      <alignment horizontal="centerContinuous" vertical="distributed"/>
    </xf>
    <xf numFmtId="0" fontId="0" fillId="0" borderId="6" xfId="0" applyFont="1" applyBorder="1" applyAlignment="1">
      <alignment horizontal="centerContinuous" vertical="distributed"/>
    </xf>
    <xf numFmtId="0" fontId="0" fillId="0" borderId="7" xfId="0" applyFont="1" applyBorder="1" applyAlignment="1">
      <alignment horizontal="centerContinuous" vertical="distributed"/>
    </xf>
    <xf numFmtId="0" fontId="0" fillId="0" borderId="0" xfId="0" applyFont="1"/>
    <xf numFmtId="0" fontId="3" fillId="0" borderId="3" xfId="0" applyFont="1" applyFill="1" applyBorder="1" applyAlignment="1">
      <alignment horizontal="centerContinuous"/>
    </xf>
    <xf numFmtId="0" fontId="3" fillId="0" borderId="4" xfId="0" applyFont="1" applyFill="1" applyBorder="1" applyAlignment="1">
      <alignment horizontal="centerContinuous"/>
    </xf>
    <xf numFmtId="0" fontId="3" fillId="0" borderId="0" xfId="0" applyFont="1" applyFill="1" applyBorder="1" applyAlignment="1">
      <alignment horizontal="center"/>
    </xf>
    <xf numFmtId="0" fontId="3" fillId="3" borderId="4" xfId="0" applyFont="1" applyFill="1" applyBorder="1" applyAlignment="1">
      <alignment horizontal="centerContinuous"/>
    </xf>
    <xf numFmtId="0" fontId="3" fillId="0" borderId="0" xfId="0" applyFont="1" applyFill="1" applyBorder="1" applyAlignment="1"/>
    <xf numFmtId="0" fontId="3" fillId="0" borderId="15" xfId="0" applyFont="1" applyBorder="1"/>
    <xf numFmtId="0" fontId="0" fillId="0" borderId="16" xfId="0" applyBorder="1"/>
    <xf numFmtId="0" fontId="0" fillId="4" borderId="17" xfId="0" applyNumberFormat="1" applyFill="1" applyBorder="1" applyAlignment="1">
      <alignment horizontal="centerContinuous"/>
    </xf>
    <xf numFmtId="0" fontId="0" fillId="0" borderId="18" xfId="0" applyBorder="1" applyAlignment="1">
      <alignment horizontal="centerContinuous"/>
    </xf>
    <xf numFmtId="0" fontId="0" fillId="0" borderId="5" xfId="0" applyBorder="1" applyAlignment="1">
      <alignment horizontal="centerContinuous" wrapText="1"/>
    </xf>
    <xf numFmtId="0" fontId="0" fillId="0" borderId="6" xfId="0" applyBorder="1" applyAlignment="1">
      <alignment horizontal="centerContinuous" wrapText="1"/>
    </xf>
    <xf numFmtId="0" fontId="0" fillId="0" borderId="7" xfId="0" applyFill="1" applyBorder="1" applyAlignment="1">
      <alignment horizontal="centerContinuous"/>
    </xf>
    <xf numFmtId="0" fontId="0" fillId="0" borderId="0" xfId="0" applyFill="1" applyBorder="1"/>
    <xf numFmtId="0" fontId="0" fillId="3" borderId="5" xfId="0" applyFill="1" applyBorder="1" applyAlignment="1">
      <alignment horizontal="centerContinuous" wrapText="1"/>
    </xf>
    <xf numFmtId="0" fontId="0" fillId="3" borderId="6" xfId="0" applyFill="1" applyBorder="1" applyAlignment="1">
      <alignment horizontal="centerContinuous" wrapText="1"/>
    </xf>
    <xf numFmtId="164" fontId="0" fillId="3" borderId="6" xfId="0" applyNumberFormat="1" applyFill="1" applyBorder="1" applyAlignment="1">
      <alignment horizontal="centerContinuous"/>
    </xf>
    <xf numFmtId="0" fontId="0" fillId="3" borderId="7" xfId="0" applyFill="1" applyBorder="1" applyAlignment="1">
      <alignment horizontal="centerContinuous"/>
    </xf>
    <xf numFmtId="0" fontId="3" fillId="0" borderId="19" xfId="0" applyFont="1" applyBorder="1"/>
    <xf numFmtId="0" fontId="0" fillId="0" borderId="20" xfId="0" applyBorder="1"/>
    <xf numFmtId="164" fontId="0" fillId="4" borderId="21" xfId="0" applyNumberFormat="1" applyFill="1" applyBorder="1" applyAlignment="1">
      <alignment horizontal="centerContinuous"/>
    </xf>
    <xf numFmtId="8" fontId="0" fillId="0" borderId="22" xfId="1" applyNumberFormat="1" applyFont="1" applyBorder="1" applyAlignment="1">
      <alignment horizontal="centerContinuous"/>
    </xf>
    <xf numFmtId="0" fontId="3" fillId="0" borderId="8" xfId="0" applyFont="1" applyBorder="1" applyAlignment="1">
      <alignment horizontal="centerContinuous"/>
    </xf>
    <xf numFmtId="0" fontId="3" fillId="0" borderId="0" xfId="0" applyFont="1" applyBorder="1" applyAlignment="1">
      <alignment horizontal="centerContinuous"/>
    </xf>
    <xf numFmtId="0" fontId="0" fillId="0" borderId="9" xfId="0" applyFill="1" applyBorder="1" applyAlignment="1">
      <alignment horizontal="centerContinuous"/>
    </xf>
    <xf numFmtId="0" fontId="0" fillId="3" borderId="8" xfId="0" applyFont="1" applyFill="1" applyBorder="1" applyAlignment="1">
      <alignment horizontal="centerContinuous"/>
    </xf>
    <xf numFmtId="0" fontId="3" fillId="3" borderId="0" xfId="0" applyFont="1" applyFill="1" applyBorder="1" applyAlignment="1">
      <alignment horizontal="centerContinuous"/>
    </xf>
    <xf numFmtId="164" fontId="0" fillId="3" borderId="0" xfId="0" applyNumberFormat="1" applyFill="1" applyBorder="1" applyAlignment="1">
      <alignment horizontal="centerContinuous"/>
    </xf>
    <xf numFmtId="0" fontId="0" fillId="3" borderId="9" xfId="0" applyFill="1" applyBorder="1" applyAlignment="1">
      <alignment horizontal="centerContinuous"/>
    </xf>
    <xf numFmtId="0" fontId="0" fillId="0" borderId="0" xfId="0" applyFill="1" applyBorder="1" applyAlignment="1"/>
    <xf numFmtId="44" fontId="0" fillId="0" borderId="0" xfId="0" applyNumberFormat="1" applyFill="1" applyBorder="1"/>
    <xf numFmtId="0" fontId="0" fillId="0" borderId="8" xfId="0" applyBorder="1" applyAlignment="1">
      <alignment horizontal="centerContinuous" wrapText="1"/>
    </xf>
    <xf numFmtId="0" fontId="0" fillId="0" borderId="0" xfId="0" applyBorder="1" applyAlignment="1">
      <alignment horizontal="centerContinuous" wrapText="1"/>
    </xf>
    <xf numFmtId="0" fontId="0" fillId="3" borderId="8" xfId="0" applyFill="1" applyBorder="1" applyAlignment="1">
      <alignment horizontal="centerContinuous" wrapText="1"/>
    </xf>
    <xf numFmtId="0" fontId="0" fillId="3" borderId="0" xfId="0" applyFill="1" applyBorder="1" applyAlignment="1">
      <alignment horizontal="centerContinuous" wrapText="1"/>
    </xf>
    <xf numFmtId="44" fontId="0" fillId="0" borderId="0" xfId="0" applyNumberFormat="1"/>
    <xf numFmtId="0" fontId="3" fillId="0" borderId="19" xfId="0" applyFont="1" applyBorder="1" applyAlignment="1">
      <alignment horizontal="centerContinuous"/>
    </xf>
    <xf numFmtId="0" fontId="0" fillId="0" borderId="20" xfId="0" applyBorder="1" applyAlignment="1">
      <alignment horizontal="centerContinuous"/>
    </xf>
    <xf numFmtId="0" fontId="0" fillId="4" borderId="23" xfId="0" applyFill="1" applyBorder="1" applyAlignment="1">
      <alignment horizontal="centerContinuous"/>
    </xf>
    <xf numFmtId="0" fontId="0" fillId="0" borderId="22" xfId="0" applyBorder="1" applyAlignment="1">
      <alignment horizontal="centerContinuous"/>
    </xf>
    <xf numFmtId="0" fontId="3" fillId="0" borderId="24" xfId="0" applyFont="1" applyBorder="1" applyAlignment="1">
      <alignment horizontal="centerContinuous"/>
    </xf>
    <xf numFmtId="0" fontId="0" fillId="0" borderId="25" xfId="0" applyBorder="1" applyAlignment="1">
      <alignment horizontal="centerContinuous"/>
    </xf>
    <xf numFmtId="0" fontId="0" fillId="4" borderId="26" xfId="0" applyFill="1" applyBorder="1" applyAlignment="1">
      <alignment horizontal="centerContinuous"/>
    </xf>
    <xf numFmtId="0" fontId="0" fillId="0" borderId="13" xfId="0" applyBorder="1" applyAlignment="1">
      <alignment horizontal="centerContinuous"/>
    </xf>
    <xf numFmtId="0" fontId="3" fillId="3" borderId="8" xfId="0" applyFont="1" applyFill="1" applyBorder="1" applyAlignment="1">
      <alignment horizontal="centerContinuous"/>
    </xf>
    <xf numFmtId="164" fontId="0" fillId="3" borderId="0" xfId="0" applyNumberFormat="1" applyFont="1" applyFill="1" applyBorder="1" applyAlignment="1">
      <alignment horizontal="centerContinuous"/>
    </xf>
    <xf numFmtId="0" fontId="0" fillId="3" borderId="9" xfId="0" applyFont="1" applyFill="1" applyBorder="1" applyAlignment="1">
      <alignment horizontal="centerContinuous"/>
    </xf>
    <xf numFmtId="164" fontId="0" fillId="0" borderId="27" xfId="0" applyNumberFormat="1" applyFill="1" applyBorder="1" applyAlignment="1">
      <alignment horizontal="centerContinuous"/>
    </xf>
    <xf numFmtId="0" fontId="0" fillId="0" borderId="28" xfId="0" applyFill="1" applyBorder="1" applyAlignment="1">
      <alignment horizontal="centerContinuous"/>
    </xf>
    <xf numFmtId="164" fontId="0" fillId="3" borderId="27" xfId="0" applyNumberFormat="1" applyFill="1" applyBorder="1" applyAlignment="1">
      <alignment horizontal="centerContinuous"/>
    </xf>
    <xf numFmtId="0" fontId="0" fillId="3" borderId="28" xfId="0" applyFill="1" applyBorder="1" applyAlignment="1">
      <alignment horizontal="centerContinuous"/>
    </xf>
    <xf numFmtId="0" fontId="3" fillId="0" borderId="6" xfId="0" applyFont="1" applyBorder="1" applyAlignment="1">
      <alignment horizontal="centerContinuous" vertical="distributed"/>
    </xf>
    <xf numFmtId="0" fontId="0" fillId="0" borderId="7" xfId="0" applyBorder="1" applyAlignment="1">
      <alignment horizontal="centerContinuous" vertical="distributed"/>
    </xf>
    <xf numFmtId="164" fontId="0" fillId="0" borderId="29" xfId="0" applyNumberFormat="1" applyFill="1" applyBorder="1" applyAlignment="1">
      <alignment horizontal="centerContinuous"/>
    </xf>
    <xf numFmtId="0" fontId="0" fillId="0" borderId="30" xfId="0" applyFill="1" applyBorder="1" applyAlignment="1">
      <alignment horizontal="centerContinuous"/>
    </xf>
    <xf numFmtId="164" fontId="0" fillId="3" borderId="29" xfId="0" applyNumberFormat="1" applyFill="1" applyBorder="1" applyAlignment="1">
      <alignment horizontal="centerContinuous"/>
    </xf>
    <xf numFmtId="0" fontId="0" fillId="3" borderId="30" xfId="0" applyFill="1" applyBorder="1" applyAlignment="1">
      <alignment horizontal="centerContinuous"/>
    </xf>
    <xf numFmtId="0" fontId="3" fillId="0" borderId="8" xfId="0" applyFont="1" applyBorder="1" applyAlignment="1">
      <alignment horizontal="left"/>
    </xf>
    <xf numFmtId="0" fontId="0" fillId="0" borderId="0" xfId="0" applyBorder="1" applyAlignment="1">
      <alignment horizontal="centerContinuous"/>
    </xf>
    <xf numFmtId="0" fontId="0" fillId="0" borderId="0" xfId="0" applyNumberFormat="1" applyFill="1" applyBorder="1" applyAlignment="1">
      <alignment horizontal="centerContinuous"/>
    </xf>
    <xf numFmtId="0" fontId="3" fillId="0" borderId="10" xfId="0" applyFont="1" applyBorder="1" applyAlignment="1">
      <alignment horizontal="centerContinuous"/>
    </xf>
    <xf numFmtId="0" fontId="3" fillId="0" borderId="11" xfId="0" applyFont="1" applyBorder="1" applyAlignment="1">
      <alignment horizontal="centerContinuous"/>
    </xf>
    <xf numFmtId="0" fontId="0" fillId="0" borderId="12" xfId="0" applyFill="1" applyBorder="1" applyAlignment="1">
      <alignment horizontal="centerContinuous"/>
    </xf>
    <xf numFmtId="0" fontId="3" fillId="3" borderId="10" xfId="0" applyFont="1" applyFill="1" applyBorder="1" applyAlignment="1">
      <alignment horizontal="centerContinuous"/>
    </xf>
    <xf numFmtId="0" fontId="3" fillId="3" borderId="11" xfId="0" applyFont="1" applyFill="1" applyBorder="1" applyAlignment="1">
      <alignment horizontal="centerContinuous"/>
    </xf>
    <xf numFmtId="164" fontId="0" fillId="3" borderId="11" xfId="0" applyNumberFormat="1" applyFill="1" applyBorder="1" applyAlignment="1">
      <alignment horizontal="centerContinuous"/>
    </xf>
    <xf numFmtId="0" fontId="0" fillId="3" borderId="12" xfId="0" applyFill="1" applyBorder="1" applyAlignment="1">
      <alignment horizontal="centerContinuous"/>
    </xf>
    <xf numFmtId="44" fontId="0" fillId="0" borderId="0" xfId="1" applyFont="1" applyBorder="1"/>
    <xf numFmtId="8" fontId="0" fillId="0" borderId="9" xfId="1" applyNumberFormat="1" applyFont="1" applyBorder="1" applyAlignment="1">
      <alignment horizontal="centerContinuous"/>
    </xf>
    <xf numFmtId="0" fontId="0" fillId="0" borderId="0" xfId="0" applyBorder="1" applyAlignment="1">
      <alignment horizontal="left" wrapText="1"/>
    </xf>
    <xf numFmtId="0" fontId="0" fillId="0" borderId="0" xfId="0" applyFill="1" applyBorder="1" applyAlignment="1">
      <alignment horizontal="left" wrapText="1"/>
    </xf>
    <xf numFmtId="0" fontId="9" fillId="0" borderId="11" xfId="0" applyFont="1" applyBorder="1" applyAlignment="1">
      <alignment horizontal="centerContinuous"/>
    </xf>
    <xf numFmtId="0" fontId="9" fillId="0" borderId="0" xfId="0" applyFont="1" applyBorder="1" applyAlignment="1"/>
    <xf numFmtId="0" fontId="9" fillId="0" borderId="0" xfId="0" applyFont="1" applyBorder="1" applyAlignment="1">
      <alignment horizontal="centerContinuous"/>
    </xf>
    <xf numFmtId="0" fontId="3" fillId="0" borderId="0" xfId="0" applyFont="1" applyBorder="1"/>
    <xf numFmtId="0" fontId="0" fillId="0" borderId="5" xfId="0" applyBorder="1" applyAlignment="1">
      <alignment horizontal="centerContinuous"/>
    </xf>
    <xf numFmtId="0" fontId="0" fillId="0" borderId="6" xfId="0" applyBorder="1" applyAlignment="1">
      <alignment horizontal="centerContinuous"/>
    </xf>
    <xf numFmtId="44" fontId="0" fillId="0" borderId="7" xfId="0" applyNumberFormat="1" applyFont="1" applyFill="1" applyBorder="1" applyAlignment="1">
      <alignment horizontal="centerContinuous"/>
    </xf>
    <xf numFmtId="44" fontId="0" fillId="0" borderId="9" xfId="0" applyNumberFormat="1" applyFont="1" applyFill="1" applyBorder="1" applyAlignment="1">
      <alignment horizontal="centerContinuous"/>
    </xf>
    <xf numFmtId="0" fontId="0" fillId="0" borderId="11" xfId="0" applyBorder="1" applyAlignment="1">
      <alignment horizontal="centerContinuous"/>
    </xf>
    <xf numFmtId="0" fontId="0" fillId="0" borderId="11" xfId="0" applyNumberFormat="1" applyFill="1" applyBorder="1" applyAlignment="1">
      <alignment horizontal="centerContinuous"/>
    </xf>
    <xf numFmtId="0" fontId="0" fillId="0" borderId="12" xfId="0" applyBorder="1" applyAlignment="1">
      <alignment horizontal="centerContinuous"/>
    </xf>
    <xf numFmtId="0" fontId="3" fillId="0" borderId="0" xfId="0" applyFont="1" applyAlignment="1">
      <alignment horizontal="centerContinuous"/>
    </xf>
    <xf numFmtId="9" fontId="0" fillId="0" borderId="0" xfId="2" applyFont="1" applyAlignment="1">
      <alignment horizontal="centerContinuous"/>
    </xf>
    <xf numFmtId="0" fontId="0" fillId="0" borderId="0" xfId="0" applyFont="1" applyFill="1" applyBorder="1"/>
    <xf numFmtId="0" fontId="3" fillId="5" borderId="8" xfId="0" applyFont="1" applyFill="1" applyBorder="1" applyAlignment="1">
      <alignment horizontal="centerContinuous"/>
    </xf>
    <xf numFmtId="0" fontId="3" fillId="5" borderId="0" xfId="0" applyFont="1" applyFill="1" applyBorder="1" applyAlignment="1">
      <alignment horizontal="centerContinuous"/>
    </xf>
    <xf numFmtId="0" fontId="3" fillId="0" borderId="0" xfId="0" applyFont="1" applyFill="1" applyBorder="1" applyAlignment="1">
      <alignment horizontal="centerContinuous"/>
    </xf>
    <xf numFmtId="0" fontId="3" fillId="0" borderId="0" xfId="0" applyFont="1" applyAlignment="1"/>
    <xf numFmtId="0" fontId="3" fillId="0" borderId="0" xfId="0" applyFont="1"/>
    <xf numFmtId="8" fontId="0" fillId="0" borderId="0" xfId="0" applyNumberFormat="1"/>
    <xf numFmtId="0" fontId="3" fillId="0" borderId="0" xfId="0" applyFont="1" applyAlignment="1">
      <alignment horizontal="center"/>
    </xf>
    <xf numFmtId="44" fontId="0" fillId="0" borderId="28" xfId="0" applyNumberFormat="1" applyFont="1" applyFill="1" applyBorder="1" applyAlignment="1">
      <alignment horizontal="centerContinuous"/>
    </xf>
    <xf numFmtId="0" fontId="0" fillId="0" borderId="8" xfId="0" applyBorder="1" applyAlignment="1">
      <alignment horizontal="centerContinuous" wrapText="1" readingOrder="1"/>
    </xf>
    <xf numFmtId="0" fontId="0" fillId="0" borderId="0" xfId="0" applyBorder="1" applyAlignment="1">
      <alignment horizontal="centerContinuous" wrapText="1" readingOrder="1"/>
    </xf>
    <xf numFmtId="44" fontId="0" fillId="0" borderId="30" xfId="0" applyNumberFormat="1" applyFont="1" applyFill="1" applyBorder="1" applyAlignment="1">
      <alignment horizontal="centerContinuous"/>
    </xf>
    <xf numFmtId="44" fontId="0" fillId="0" borderId="12" xfId="1" applyFont="1" applyFill="1" applyBorder="1"/>
    <xf numFmtId="44" fontId="0" fillId="0" borderId="12" xfId="0" applyNumberFormat="1" applyFont="1" applyFill="1" applyBorder="1" applyAlignment="1">
      <alignment horizontal="centerContinuous"/>
    </xf>
    <xf numFmtId="1" fontId="0" fillId="0" borderId="0" xfId="1" applyNumberFormat="1" applyFont="1" applyBorder="1" applyAlignment="1"/>
    <xf numFmtId="0" fontId="0" fillId="0" borderId="0" xfId="0" applyBorder="1" applyAlignment="1"/>
    <xf numFmtId="0" fontId="10" fillId="0" borderId="0" xfId="0" applyFont="1"/>
    <xf numFmtId="0" fontId="11" fillId="0" borderId="0" xfId="0" applyFont="1" applyAlignment="1">
      <alignment horizontal="centerContinuous"/>
    </xf>
    <xf numFmtId="0" fontId="10" fillId="0" borderId="0" xfId="0" applyFont="1" applyAlignment="1">
      <alignment horizontal="centerContinuous"/>
    </xf>
    <xf numFmtId="164" fontId="0" fillId="0" borderId="0" xfId="0" applyNumberFormat="1"/>
    <xf numFmtId="0" fontId="0" fillId="0" borderId="0" xfId="0" applyAlignment="1">
      <alignment horizontal="centerContinuous" vertical="top" wrapText="1"/>
    </xf>
    <xf numFmtId="8" fontId="0" fillId="0" borderId="0" xfId="0" applyNumberFormat="1" applyAlignment="1">
      <alignment horizontal="centerContinuous"/>
    </xf>
    <xf numFmtId="0" fontId="3" fillId="0" borderId="8" xfId="0" applyFont="1" applyFill="1" applyBorder="1" applyAlignment="1">
      <alignment horizontal="centerContinuous"/>
    </xf>
    <xf numFmtId="164" fontId="0" fillId="5" borderId="0" xfId="0" applyNumberFormat="1" applyFill="1" applyBorder="1" applyAlignment="1">
      <alignment horizontal="centerContinuous"/>
    </xf>
    <xf numFmtId="44" fontId="0" fillId="5" borderId="9" xfId="0" applyNumberFormat="1" applyFont="1" applyFill="1" applyBorder="1" applyAlignment="1">
      <alignment horizontal="centerContinuous"/>
    </xf>
    <xf numFmtId="0" fontId="3" fillId="3" borderId="31" xfId="0" applyFont="1" applyFill="1" applyBorder="1" applyAlignment="1">
      <alignment horizontal="centerContinuous"/>
    </xf>
    <xf numFmtId="164" fontId="0" fillId="3" borderId="7" xfId="0" applyNumberFormat="1" applyFill="1" applyBorder="1" applyAlignment="1">
      <alignment horizontal="centerContinuous"/>
    </xf>
    <xf numFmtId="164" fontId="0" fillId="3" borderId="9" xfId="0" applyNumberFormat="1" applyFill="1" applyBorder="1" applyAlignment="1">
      <alignment horizontal="centerContinuous"/>
    </xf>
    <xf numFmtId="164" fontId="0" fillId="3" borderId="9" xfId="0" applyNumberFormat="1" applyFont="1" applyFill="1" applyBorder="1" applyAlignment="1">
      <alignment horizontal="centerContinuous"/>
    </xf>
    <xf numFmtId="164" fontId="0" fillId="3" borderId="30" xfId="0" applyNumberFormat="1" applyFill="1" applyBorder="1" applyAlignment="1">
      <alignment horizontal="centerContinuous"/>
    </xf>
    <xf numFmtId="164" fontId="0" fillId="3" borderId="12" xfId="0" applyNumberFormat="1" applyFill="1" applyBorder="1" applyAlignment="1">
      <alignment horizontal="centerContinuous"/>
    </xf>
    <xf numFmtId="0" fontId="15" fillId="0" borderId="0" xfId="0" applyFont="1" applyFill="1" applyAlignment="1"/>
    <xf numFmtId="0" fontId="0" fillId="0" borderId="0" xfId="0" applyFill="1" applyAlignment="1"/>
    <xf numFmtId="0" fontId="0" fillId="0" borderId="0" xfId="0" applyFill="1"/>
    <xf numFmtId="0" fontId="13" fillId="6" borderId="0" xfId="0" applyFont="1" applyFill="1" applyAlignment="1">
      <alignment horizontal="left"/>
    </xf>
  </cellXfs>
  <cellStyles count="4">
    <cellStyle name="Accent6" xfId="3" builtinId="49"/>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17</xdr:col>
      <xdr:colOff>590550</xdr:colOff>
      <xdr:row>44</xdr:row>
      <xdr:rowOff>114300</xdr:rowOff>
    </xdr:from>
    <xdr:to>
      <xdr:col>27</xdr:col>
      <xdr:colOff>266700</xdr:colOff>
      <xdr:row>47</xdr:row>
      <xdr:rowOff>95250</xdr:rowOff>
    </xdr:to>
    <xdr:cxnSp macro="">
      <xdr:nvCxnSpPr>
        <xdr:cNvPr id="6" name="Straight Arrow Connector 5"/>
        <xdr:cNvCxnSpPr/>
      </xdr:nvCxnSpPr>
      <xdr:spPr>
        <a:xfrm flipH="1">
          <a:off x="11934825" y="8382000"/>
          <a:ext cx="6667500" cy="561975"/>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342900</xdr:colOff>
      <xdr:row>47</xdr:row>
      <xdr:rowOff>104775</xdr:rowOff>
    </xdr:from>
    <xdr:to>
      <xdr:col>12</xdr:col>
      <xdr:colOff>390525</xdr:colOff>
      <xdr:row>47</xdr:row>
      <xdr:rowOff>104775</xdr:rowOff>
    </xdr:to>
    <xdr:cxnSp macro="">
      <xdr:nvCxnSpPr>
        <xdr:cNvPr id="8" name="Straight Arrow Connector 7"/>
        <xdr:cNvCxnSpPr/>
      </xdr:nvCxnSpPr>
      <xdr:spPr>
        <a:xfrm flipH="1">
          <a:off x="6962775" y="8953500"/>
          <a:ext cx="1295400" cy="0"/>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0</xdr:colOff>
      <xdr:row>30</xdr:row>
      <xdr:rowOff>123825</xdr:rowOff>
    </xdr:from>
    <xdr:to>
      <xdr:col>30</xdr:col>
      <xdr:colOff>314325</xdr:colOff>
      <xdr:row>37</xdr:row>
      <xdr:rowOff>104775</xdr:rowOff>
    </xdr:to>
    <xdr:cxnSp macro="">
      <xdr:nvCxnSpPr>
        <xdr:cNvPr id="10" name="Straight Arrow Connector 9"/>
        <xdr:cNvCxnSpPr/>
      </xdr:nvCxnSpPr>
      <xdr:spPr>
        <a:xfrm>
          <a:off x="15935325" y="5467350"/>
          <a:ext cx="4114800" cy="13716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28575</xdr:colOff>
      <xdr:row>58</xdr:row>
      <xdr:rowOff>28573</xdr:rowOff>
    </xdr:from>
    <xdr:ext cx="17125950" cy="5353052"/>
    <xdr:sp macro="" textlink="">
      <xdr:nvSpPr>
        <xdr:cNvPr id="12" name="TextBox 11"/>
        <xdr:cNvSpPr txBox="1"/>
      </xdr:nvSpPr>
      <xdr:spPr>
        <a:xfrm>
          <a:off x="28575" y="14820898"/>
          <a:ext cx="17125950" cy="5353052"/>
        </a:xfrm>
        <a:prstGeom prst="rect">
          <a:avLst/>
        </a:prstGeom>
        <a:solidFill>
          <a:srgbClr val="0070C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600">
              <a:solidFill>
                <a:schemeClr val="bg1"/>
              </a:solidFill>
            </a:rPr>
            <a:t>Key Takeaway:</a:t>
          </a:r>
        </a:p>
        <a:p>
          <a:r>
            <a:rPr lang="en-US" sz="1600">
              <a:solidFill>
                <a:schemeClr val="bg1"/>
              </a:solidFill>
              <a:effectLst/>
              <a:latin typeface="+mn-lt"/>
              <a:ea typeface="+mn-ea"/>
              <a:cs typeface="+mn-cs"/>
            </a:rPr>
            <a:t>The Lost</a:t>
          </a:r>
          <a:r>
            <a:rPr lang="en-US" sz="1600" baseline="0">
              <a:solidFill>
                <a:schemeClr val="bg1"/>
              </a:solidFill>
              <a:effectLst/>
              <a:latin typeface="+mn-lt"/>
              <a:ea typeface="+mn-ea"/>
              <a:cs typeface="+mn-cs"/>
            </a:rPr>
            <a:t> Opportunity Cost Credit compensates the resource for the $1172.50 in forgone profit associated with following the manual dispatch instruction to reduce output from 100 MW to 65 MW.</a:t>
          </a:r>
        </a:p>
        <a:p>
          <a:endParaRPr lang="en-US" sz="1600">
            <a:solidFill>
              <a:schemeClr val="bg1"/>
            </a:solidFill>
            <a:effectLst/>
          </a:endParaRPr>
        </a:p>
        <a:p>
          <a:r>
            <a:rPr lang="en-US" sz="1600">
              <a:solidFill>
                <a:schemeClr val="bg1"/>
              </a:solidFill>
              <a:effectLst/>
            </a:rPr>
            <a:t>The tracking desired is reflective of the manual</a:t>
          </a:r>
          <a:r>
            <a:rPr lang="en-US" sz="1600" baseline="0">
              <a:solidFill>
                <a:schemeClr val="bg1"/>
              </a:solidFill>
              <a:effectLst/>
            </a:rPr>
            <a:t> dispatch instruction, allowing the measurement of following dispatch to be maintained. The LOC desired is where the resource would have been dispatched, except for the manual dispatch.</a:t>
          </a:r>
          <a:endParaRPr lang="en-US" sz="1600">
            <a:solidFill>
              <a:schemeClr val="bg1"/>
            </a:solidFill>
            <a:effectLst/>
          </a:endParaRPr>
        </a:p>
        <a:p>
          <a:r>
            <a:rPr lang="en-US" sz="1600" baseline="0">
              <a:solidFill>
                <a:schemeClr val="bg1"/>
              </a:solidFill>
              <a:effectLst/>
              <a:latin typeface="+mn-lt"/>
              <a:ea typeface="+mn-ea"/>
              <a:cs typeface="+mn-cs"/>
            </a:rPr>
            <a:t>The Balancing Operating Reserve Credit calculation then accounts for the revenues the resource earned by producing either the Tracking Desired MW (Step 1 calculation) or the RT MW (Step 2 calculation).</a:t>
          </a:r>
          <a:endParaRPr lang="en-US" sz="1600">
            <a:solidFill>
              <a:schemeClr val="bg1"/>
            </a:solidFill>
            <a:effectLst/>
          </a:endParaRPr>
        </a:p>
        <a:p>
          <a:endParaRPr lang="en-US" sz="1600">
            <a:solidFill>
              <a:srgbClr val="FFFF00"/>
            </a:solidFill>
          </a:endParaRPr>
        </a:p>
        <a:p>
          <a:r>
            <a:rPr lang="en-US" sz="1600">
              <a:solidFill>
                <a:schemeClr val="bg1"/>
              </a:solidFill>
            </a:rPr>
            <a:t>With</a:t>
          </a:r>
          <a:r>
            <a:rPr lang="en-US" sz="1600" baseline="0">
              <a:solidFill>
                <a:schemeClr val="bg1"/>
              </a:solidFill>
            </a:rPr>
            <a:t> the manual dispatch and a day-ahead commitment, there is the potential for double counting between the Balancing Operating Reserve Credit and Balancing Operating Reserve LOC Credit, with the way the Balancing Operating Reserve Credit calculation is currently structured.  The Balancing Operating Reserve Credit will account for any reduction in revenue that stems from buying out of the day-ahead market as well as the reduction in the real-time energy offer (i.e. it accounts for less net profit).  Because those profits were actually received through the LOC Credit, but are being omitted from the Balancing Operating Reserve Credit caculation, this results in the profits recognized in the Balancing Operating Reserve Calculation being understated</a:t>
          </a:r>
          <a:r>
            <a:rPr lang="en-US" sz="1600" baseline="0">
              <a:solidFill>
                <a:srgbClr val="FFFF00"/>
              </a:solidFill>
            </a:rPr>
            <a:t>.  </a:t>
          </a:r>
          <a:r>
            <a:rPr lang="en-US" sz="1600" baseline="0">
              <a:solidFill>
                <a:schemeClr val="bg1"/>
              </a:solidFill>
            </a:rPr>
            <a:t>This can be seen in the Double Counting example above, which illustrates the outcome of the current Operating Reserve Calculation where the LOC Credit is not recognized in the Balancing Operating Reserve Credit Calculation.  In this example, the resource has negative Balancing Net Reveues and receives a Balancing Operating Reserve Credit of $47.50, despite having earned an actual profit of $1,125 as demonstrated in the Profit/Loss box.  This occurs because the buy out from the day-ahead market is being included in the Balancing Operating Reserve Credit calculation, but there is no recognition that that cost has already been recovered through revenues provided in the LOC credit.</a:t>
          </a:r>
        </a:p>
        <a:p>
          <a:endParaRPr lang="en-US" sz="1600" baseline="0">
            <a:solidFill>
              <a:schemeClr val="bg1"/>
            </a:solidFill>
          </a:endParaRPr>
        </a:p>
        <a:p>
          <a:r>
            <a:rPr lang="en-US" sz="1600" baseline="0">
              <a:solidFill>
                <a:schemeClr val="bg1"/>
              </a:solidFill>
            </a:rPr>
            <a:t>To avoid this understatement of profit (or double counting of costs between the two calculations), the Balancing Operating Reserve LOC credit needs to be added to the revenue for both the calculation of Balancing Operating Reserves using Tracking Desired MW (Step 1) and the calculation of Balancing Operating Reserves using RT MW (Step 2).  Once the LOC Credit is included in the calculation, the Balancing Net Revenue from the Step 2 (RT MW) calculation is equal to the profit the resource actually earned in that interval.  The Balancing Net Revenue from the Step 1 (Tracking Desired MW) calculation also now matches the profit the resource earned in that interval (as seen in the Profit/Loss box), which is the appropriate outcome when the RT MW = Tracking Desired MW.</a:t>
          </a:r>
          <a:endParaRPr lang="en-US" sz="1600">
            <a:solidFill>
              <a:schemeClr val="bg1"/>
            </a:solidFill>
          </a:endParaRPr>
        </a:p>
      </xdr:txBody>
    </xdr:sp>
    <xdr:clientData/>
  </xdr:oneCellAnchor>
  <xdr:twoCellAnchor>
    <xdr:from>
      <xdr:col>17</xdr:col>
      <xdr:colOff>590550</xdr:colOff>
      <xdr:row>128</xdr:row>
      <xdr:rowOff>114300</xdr:rowOff>
    </xdr:from>
    <xdr:to>
      <xdr:col>27</xdr:col>
      <xdr:colOff>266700</xdr:colOff>
      <xdr:row>131</xdr:row>
      <xdr:rowOff>95250</xdr:rowOff>
    </xdr:to>
    <xdr:cxnSp macro="">
      <xdr:nvCxnSpPr>
        <xdr:cNvPr id="13" name="Straight Arrow Connector 12"/>
        <xdr:cNvCxnSpPr/>
      </xdr:nvCxnSpPr>
      <xdr:spPr>
        <a:xfrm flipH="1">
          <a:off x="11934825" y="8382000"/>
          <a:ext cx="6191250" cy="561975"/>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0</xdr:colOff>
      <xdr:row>114</xdr:row>
      <xdr:rowOff>123825</xdr:rowOff>
    </xdr:from>
    <xdr:to>
      <xdr:col>30</xdr:col>
      <xdr:colOff>314325</xdr:colOff>
      <xdr:row>121</xdr:row>
      <xdr:rowOff>104775</xdr:rowOff>
    </xdr:to>
    <xdr:cxnSp macro="">
      <xdr:nvCxnSpPr>
        <xdr:cNvPr id="15" name="Straight Arrow Connector 14"/>
        <xdr:cNvCxnSpPr/>
      </xdr:nvCxnSpPr>
      <xdr:spPr>
        <a:xfrm>
          <a:off x="15982950" y="5467350"/>
          <a:ext cx="4114800" cy="13716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142</xdr:row>
      <xdr:rowOff>0</xdr:rowOff>
    </xdr:from>
    <xdr:ext cx="17125950" cy="5448300"/>
    <xdr:sp macro="" textlink="">
      <xdr:nvSpPr>
        <xdr:cNvPr id="16" name="TextBox 15"/>
        <xdr:cNvSpPr txBox="1"/>
      </xdr:nvSpPr>
      <xdr:spPr>
        <a:xfrm>
          <a:off x="0" y="30384750"/>
          <a:ext cx="17125950" cy="5448300"/>
        </a:xfrm>
        <a:prstGeom prst="rect">
          <a:avLst/>
        </a:prstGeom>
        <a:solidFill>
          <a:srgbClr val="0070C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600">
              <a:solidFill>
                <a:schemeClr val="bg1"/>
              </a:solidFill>
            </a:rPr>
            <a:t>Key Takeaway:</a:t>
          </a:r>
        </a:p>
        <a:p>
          <a:r>
            <a:rPr lang="en-US" sz="1600">
              <a:solidFill>
                <a:schemeClr val="bg1"/>
              </a:solidFill>
            </a:rPr>
            <a:t>The Lost</a:t>
          </a:r>
          <a:r>
            <a:rPr lang="en-US" sz="1600" baseline="0">
              <a:solidFill>
                <a:schemeClr val="bg1"/>
              </a:solidFill>
            </a:rPr>
            <a:t> Opportunity Cost Credit compensates the resource for the $1172.50 in forgone profit associated with following the manual dispatch instruction to reduce output from 100 MW to 65 MW.</a:t>
          </a:r>
        </a:p>
        <a:p>
          <a:endParaRPr lang="en-US" sz="1600" baseline="0">
            <a:solidFill>
              <a:srgbClr val="FFFF00"/>
            </a:solidFill>
          </a:endParaRPr>
        </a:p>
        <a:p>
          <a:r>
            <a:rPr lang="en-US" sz="1600" baseline="0">
              <a:solidFill>
                <a:schemeClr val="bg1"/>
              </a:solidFill>
            </a:rPr>
            <a:t>The Balancing Operating Reserve Credit calculation then accounts for the revenues the resource earned by producing either the Tracking Desired MW (Step 1 calculation) or the RT MW (Step 2 calculation).</a:t>
          </a:r>
          <a:endParaRPr lang="en-US" sz="1600">
            <a:solidFill>
              <a:schemeClr val="bg1"/>
            </a:solidFill>
          </a:endParaRPr>
        </a:p>
        <a:p>
          <a:endParaRPr lang="en-US" sz="1600">
            <a:solidFill>
              <a:schemeClr val="bg1"/>
            </a:solidFill>
          </a:endParaRPr>
        </a:p>
        <a:p>
          <a:r>
            <a:rPr lang="en-US" sz="1600">
              <a:solidFill>
                <a:schemeClr val="bg1"/>
              </a:solidFill>
            </a:rPr>
            <a:t>With</a:t>
          </a:r>
          <a:r>
            <a:rPr lang="en-US" sz="1600" baseline="0">
              <a:solidFill>
                <a:schemeClr val="bg1"/>
              </a:solidFill>
            </a:rPr>
            <a:t> the manual dispatch and a day-ahead commitment, there is the potential for double counting between the Balancing Operating Reserve Credit and Balancing Operating Reserve LOC Credit </a:t>
          </a:r>
          <a:r>
            <a:rPr lang="en-US" sz="1600" baseline="0">
              <a:solidFill>
                <a:schemeClr val="bg1"/>
              </a:solidFill>
              <a:effectLst/>
              <a:latin typeface="+mn-lt"/>
              <a:ea typeface="+mn-ea"/>
              <a:cs typeface="+mn-cs"/>
            </a:rPr>
            <a:t>with the way the Balancing Operating Reserve Credit calculation is currently structured today.</a:t>
          </a:r>
          <a:r>
            <a:rPr lang="en-US" sz="1600" baseline="0">
              <a:solidFill>
                <a:schemeClr val="bg1"/>
              </a:solidFill>
            </a:rPr>
            <a:t>  The Balancing Operating Reserve Credit will account for any reduction in revenue that stems from buying out of the day-ahead market as well as the reduction in the real-time energy offer (i.e. it accounts for less net profit).  </a:t>
          </a:r>
          <a:r>
            <a:rPr lang="en-US" sz="1600" baseline="0">
              <a:solidFill>
                <a:schemeClr val="bg1"/>
              </a:solidFill>
              <a:effectLst/>
              <a:latin typeface="+mn-lt"/>
              <a:ea typeface="+mn-ea"/>
              <a:cs typeface="+mn-cs"/>
            </a:rPr>
            <a:t>Because those profits were actually received through the LOC Credit, but are being omitted from the Balancing Operating Reserve Credit caculation, this results in the profits recognized in the Balancing Operating Reserve Calculation being understated</a:t>
          </a:r>
          <a:r>
            <a:rPr lang="en-US" sz="1600" baseline="0">
              <a:solidFill>
                <a:schemeClr val="bg1"/>
              </a:solidFill>
            </a:rPr>
            <a:t>. </a:t>
          </a:r>
          <a:r>
            <a:rPr lang="en-US" sz="1600" baseline="0">
              <a:solidFill>
                <a:schemeClr val="bg1"/>
              </a:solidFill>
              <a:effectLst/>
              <a:latin typeface="+mn-lt"/>
              <a:ea typeface="+mn-ea"/>
              <a:cs typeface="+mn-cs"/>
            </a:rPr>
            <a:t>This can be seen in the Double Counting example above, which illustrates the outcome of the current Operating Reserve Calculation where the LOC Credit is not recognized in the Balancing Operating Reserve Credit Calculation.  In this example, the resource would receive a Balancing Operating Reserve Credit of $47.50, despite having earned an actual profit of $1,125.  This occurs because the buy out from the day-ahead market is being included in the Balancing Operating Reserve Credit calculation, but there is no recognition that that cost has already been recovered through the LOC credit.</a:t>
          </a:r>
        </a:p>
        <a:p>
          <a:endParaRPr lang="en-US" sz="1600">
            <a:solidFill>
              <a:srgbClr val="FFFF00"/>
            </a:solidFill>
            <a:effectLst/>
          </a:endParaRPr>
        </a:p>
        <a:p>
          <a:r>
            <a:rPr lang="en-US" sz="1600" baseline="0">
              <a:solidFill>
                <a:schemeClr val="bg1"/>
              </a:solidFill>
              <a:effectLst/>
              <a:latin typeface="+mn-lt"/>
              <a:ea typeface="+mn-ea"/>
              <a:cs typeface="+mn-cs"/>
            </a:rPr>
            <a:t>To avoid this understatement of profit (or double counting of costs between the two calculations), the Balancing Operating Reserve LOC credit needs to be added to the revenue for both the Calculation of Balancing Operating Reserves using Tracking Desired MW (Step 1) and the calculation of Balancing Operating Reserves using RT MW (Step 2).  Once the LOC Credit is included in the calculation, the Balancing Net Revenue from the Step 2 (RT MW) calculation is equal to the profit the resource actually earned in that interval.  </a:t>
          </a:r>
        </a:p>
        <a:p>
          <a:endParaRPr lang="en-US" sz="1600" baseline="0">
            <a:solidFill>
              <a:schemeClr val="bg1"/>
            </a:solidFill>
            <a:effectLst/>
            <a:latin typeface="+mn-lt"/>
            <a:ea typeface="+mn-ea"/>
            <a:cs typeface="+mn-cs"/>
          </a:endParaRPr>
        </a:p>
        <a:p>
          <a:r>
            <a:rPr lang="en-US" sz="1600" baseline="0">
              <a:solidFill>
                <a:schemeClr val="bg1"/>
              </a:solidFill>
              <a:effectLst/>
              <a:latin typeface="+mn-lt"/>
              <a:ea typeface="+mn-ea"/>
              <a:cs typeface="+mn-cs"/>
            </a:rPr>
            <a:t>However, unlike in the first example, the Balancing Net Revenue from the Step 1 calculation (Tracking Desired MW) does NOT match the Balancing Net Revenue from the Step 2 calculation and the profit the resource actually earned.  This is because i</a:t>
          </a:r>
          <a:r>
            <a:rPr lang="en-US" sz="1600">
              <a:solidFill>
                <a:schemeClr val="bg1"/>
              </a:solidFill>
            </a:rPr>
            <a:t>n</a:t>
          </a:r>
          <a:r>
            <a:rPr lang="en-US" sz="1600" baseline="0">
              <a:solidFill>
                <a:schemeClr val="bg1"/>
              </a:solidFill>
            </a:rPr>
            <a:t> this scenario the resources reduces below the requested dispatch.  </a:t>
          </a:r>
          <a:r>
            <a:rPr lang="en-US" sz="1600" baseline="0">
              <a:solidFill>
                <a:schemeClr val="bg1"/>
              </a:solidFill>
              <a:effectLst/>
              <a:latin typeface="+mn-lt"/>
              <a:ea typeface="+mn-ea"/>
              <a:cs typeface="+mn-cs"/>
            </a:rPr>
            <a:t>The calculation of Balancing Operating Reserves using the Tracking Desired MW (Step 1) accounts for the revenues and costs the resource could have earned by producing the additional 15 MW (between 50 MW and 65 MW) that were desired, but not provided.  </a:t>
          </a:r>
          <a:endParaRPr lang="en-US" sz="1600">
            <a:solidFill>
              <a:schemeClr val="bg1"/>
            </a:solidFill>
          </a:endParaRPr>
        </a:p>
      </xdr:txBody>
    </xdr:sp>
    <xdr:clientData/>
  </xdr:oneCellAnchor>
  <xdr:twoCellAnchor>
    <xdr:from>
      <xdr:col>17</xdr:col>
      <xdr:colOff>590550</xdr:colOff>
      <xdr:row>213</xdr:row>
      <xdr:rowOff>142875</xdr:rowOff>
    </xdr:from>
    <xdr:to>
      <xdr:col>23</xdr:col>
      <xdr:colOff>342900</xdr:colOff>
      <xdr:row>216</xdr:row>
      <xdr:rowOff>95250</xdr:rowOff>
    </xdr:to>
    <xdr:cxnSp macro="">
      <xdr:nvCxnSpPr>
        <xdr:cNvPr id="17" name="Straight Arrow Connector 16"/>
        <xdr:cNvCxnSpPr/>
      </xdr:nvCxnSpPr>
      <xdr:spPr>
        <a:xfrm flipH="1">
          <a:off x="11934825" y="34928175"/>
          <a:ext cx="3695700" cy="533400"/>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438150</xdr:colOff>
      <xdr:row>200</xdr:row>
      <xdr:rowOff>95250</xdr:rowOff>
    </xdr:from>
    <xdr:to>
      <xdr:col>24</xdr:col>
      <xdr:colOff>66675</xdr:colOff>
      <xdr:row>206</xdr:row>
      <xdr:rowOff>0</xdr:rowOff>
    </xdr:to>
    <xdr:cxnSp macro="">
      <xdr:nvCxnSpPr>
        <xdr:cNvPr id="18" name="Straight Arrow Connector 17"/>
        <xdr:cNvCxnSpPr/>
      </xdr:nvCxnSpPr>
      <xdr:spPr>
        <a:xfrm>
          <a:off x="15725775" y="32156400"/>
          <a:ext cx="323850" cy="10953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225</xdr:row>
      <xdr:rowOff>380999</xdr:rowOff>
    </xdr:from>
    <xdr:ext cx="17125950" cy="5057776"/>
    <xdr:sp macro="" textlink="">
      <xdr:nvSpPr>
        <xdr:cNvPr id="23" name="TextBox 22"/>
        <xdr:cNvSpPr txBox="1"/>
      </xdr:nvSpPr>
      <xdr:spPr>
        <a:xfrm>
          <a:off x="0" y="49025174"/>
          <a:ext cx="17125950" cy="5057776"/>
        </a:xfrm>
        <a:prstGeom prst="rect">
          <a:avLst/>
        </a:prstGeom>
        <a:solidFill>
          <a:srgbClr val="0070C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600">
              <a:solidFill>
                <a:schemeClr val="bg1"/>
              </a:solidFill>
            </a:rPr>
            <a:t>Key Takeaway:</a:t>
          </a:r>
        </a:p>
        <a:p>
          <a:r>
            <a:rPr lang="en-US" sz="1600">
              <a:solidFill>
                <a:schemeClr val="bg1"/>
              </a:solidFill>
            </a:rPr>
            <a:t>As</a:t>
          </a:r>
          <a:r>
            <a:rPr lang="en-US" sz="1600" baseline="0">
              <a:solidFill>
                <a:schemeClr val="bg1"/>
              </a:solidFill>
            </a:rPr>
            <a:t> with a dispatch instruction to increase output through the automated process (SCED), the resource will be made whole up to the requested dispatch point through the manual instruction. </a:t>
          </a:r>
          <a:r>
            <a:rPr lang="en-US" sz="1600">
              <a:solidFill>
                <a:schemeClr val="bg1"/>
              </a:solidFill>
              <a:effectLst/>
              <a:latin typeface="+mn-lt"/>
              <a:ea typeface="+mn-ea"/>
              <a:cs typeface="+mn-cs"/>
            </a:rPr>
            <a:t>The tracking desired is reflective of the manual</a:t>
          </a:r>
          <a:r>
            <a:rPr lang="en-US" sz="1600" baseline="0">
              <a:solidFill>
                <a:schemeClr val="bg1"/>
              </a:solidFill>
              <a:effectLst/>
              <a:latin typeface="+mn-lt"/>
              <a:ea typeface="+mn-ea"/>
              <a:cs typeface="+mn-cs"/>
            </a:rPr>
            <a:t> dispatch instruction, allowing the measurement of following dispatch to be maintained. There is no separate LOC payment that covers costs associated with a dispatch directive up.  Any additional costs incurred as a result of that dispatch instruction are covered through the Balancing Operating Reserve make whole credit.</a:t>
          </a:r>
          <a:endParaRPr lang="en-US" sz="1600" baseline="0">
            <a:solidFill>
              <a:schemeClr val="bg1"/>
            </a:solidFill>
          </a:endParaRPr>
        </a:p>
        <a:p>
          <a:endParaRPr lang="en-US" sz="1600" baseline="0">
            <a:solidFill>
              <a:schemeClr val="bg1"/>
            </a:solidFill>
          </a:endParaRPr>
        </a:p>
        <a:p>
          <a:r>
            <a:rPr lang="en-US" sz="1600" baseline="0">
              <a:solidFill>
                <a:schemeClr val="bg1"/>
              </a:solidFill>
              <a:effectLst/>
              <a:latin typeface="+mn-lt"/>
              <a:ea typeface="+mn-ea"/>
              <a:cs typeface="+mn-cs"/>
            </a:rPr>
            <a:t>Step 1: Calculate the make whole credit that would have been owed if the resource followed dispatch by using the tracking desired MW in the calculation. </a:t>
          </a:r>
          <a:endParaRPr lang="en-US" sz="1600">
            <a:solidFill>
              <a:schemeClr val="bg1"/>
            </a:solidFill>
            <a:effectLst/>
          </a:endParaRPr>
        </a:p>
        <a:p>
          <a:r>
            <a:rPr lang="en-US" sz="1600" baseline="0">
              <a:solidFill>
                <a:schemeClr val="bg1"/>
              </a:solidFill>
              <a:effectLst/>
              <a:latin typeface="+mn-lt"/>
              <a:ea typeface="+mn-ea"/>
              <a:cs typeface="+mn-cs"/>
            </a:rPr>
            <a:t>In this single interval example, if the resource followed dispatch, the resource would need a balancing operating reserve credit of $97.50 based on the cost of, and revenue earned by, producing the Tracking Desired MW (65 MW).</a:t>
          </a:r>
          <a:endParaRPr lang="en-US" sz="1600">
            <a:solidFill>
              <a:schemeClr val="bg1"/>
            </a:solidFill>
            <a:effectLst/>
          </a:endParaRPr>
        </a:p>
        <a:p>
          <a:r>
            <a:rPr lang="en-US" sz="1600" baseline="0">
              <a:solidFill>
                <a:schemeClr val="bg1"/>
              </a:solidFill>
              <a:effectLst/>
              <a:latin typeface="+mn-lt"/>
              <a:ea typeface="+mn-ea"/>
              <a:cs typeface="+mn-cs"/>
            </a:rPr>
            <a:t>Step 2: Calculate the make whole credit based on the resource's RT MW produced. </a:t>
          </a:r>
          <a:endParaRPr lang="en-US" sz="1600">
            <a:solidFill>
              <a:schemeClr val="bg1"/>
            </a:solidFill>
            <a:effectLst/>
          </a:endParaRPr>
        </a:p>
        <a:p>
          <a:r>
            <a:rPr lang="en-US" sz="1600" baseline="0">
              <a:solidFill>
                <a:schemeClr val="bg1"/>
              </a:solidFill>
              <a:effectLst/>
              <a:latin typeface="+mn-lt"/>
              <a:ea typeface="+mn-ea"/>
              <a:cs typeface="+mn-cs"/>
            </a:rPr>
            <a:t>In this single interval example, the  balancing operating reserve credit calculation results in a balancing operating reserve credit of $187.50 based on the cost of, and revenue earned by, producing the RT MW (75 MW).</a:t>
          </a:r>
          <a:endParaRPr lang="en-US" sz="1600">
            <a:solidFill>
              <a:schemeClr val="bg1"/>
            </a:solidFill>
            <a:effectLst/>
          </a:endParaRPr>
        </a:p>
        <a:p>
          <a:r>
            <a:rPr lang="en-US" sz="1600" baseline="0">
              <a:solidFill>
                <a:schemeClr val="bg1"/>
              </a:solidFill>
              <a:effectLst/>
              <a:latin typeface="+mn-lt"/>
              <a:ea typeface="+mn-ea"/>
              <a:cs typeface="+mn-cs"/>
            </a:rPr>
            <a:t>Step 3: The Balancing Operating Reserve Credit that the resource would receive is the lesser of the Step 1 (Tracking Desired) segmented balancing operating reserve credit and the Step 2 (RT MW) segmented Balancing Operating Reserve Credit. Lesser of ($97.50, $187.50) = $97.50</a:t>
          </a:r>
          <a:endParaRPr lang="en-US" sz="1600">
            <a:solidFill>
              <a:schemeClr val="bg1"/>
            </a:solidFill>
            <a:effectLst/>
          </a:endParaRPr>
        </a:p>
        <a:p>
          <a:endParaRPr lang="en-US" sz="1600" baseline="0">
            <a:solidFill>
              <a:schemeClr val="bg1"/>
            </a:solidFill>
            <a:effectLst/>
            <a:latin typeface="+mn-lt"/>
            <a:ea typeface="+mn-ea"/>
            <a:cs typeface="+mn-cs"/>
          </a:endParaRPr>
        </a:p>
        <a:p>
          <a:r>
            <a:rPr lang="en-US" sz="1600" baseline="0">
              <a:solidFill>
                <a:schemeClr val="bg1"/>
              </a:solidFill>
              <a:effectLst/>
              <a:latin typeface="+mn-lt"/>
              <a:ea typeface="+mn-ea"/>
              <a:cs typeface="+mn-cs"/>
            </a:rPr>
            <a:t>Although the resource needs a $187.50 credit based on the RT MW produced, the balancing operating reserve credit is limited to $97.50, which is the amount of make whole it would have required if it had followed dispatch and produced only 65 MW. This ensures that the resource is only made whole for the MW quantity that would have been requested by PJM if the resource followed dispatch.</a:t>
          </a:r>
          <a:endParaRPr lang="en-US" sz="1600" baseline="0">
            <a:solidFill>
              <a:schemeClr val="bg1"/>
            </a:solidFill>
          </a:endParaRPr>
        </a:p>
        <a:p>
          <a:endParaRPr lang="en-US" sz="1600">
            <a:solidFill>
              <a:schemeClr val="bg1"/>
            </a:solidFill>
          </a:endParaRPr>
        </a:p>
        <a:p>
          <a:endParaRPr lang="en-US" sz="1600">
            <a:solidFill>
              <a:schemeClr val="bg1"/>
            </a:solidFill>
          </a:endParaRPr>
        </a:p>
      </xdr:txBody>
    </xdr:sp>
    <xdr:clientData/>
  </xdr:oneCellAnchor>
  <xdr:oneCellAnchor>
    <xdr:from>
      <xdr:col>0</xdr:col>
      <xdr:colOff>28575</xdr:colOff>
      <xdr:row>0</xdr:row>
      <xdr:rowOff>9523</xdr:rowOff>
    </xdr:from>
    <xdr:ext cx="16021050" cy="6934202"/>
    <xdr:sp macro="" textlink="">
      <xdr:nvSpPr>
        <xdr:cNvPr id="2" name="TextBox 1"/>
        <xdr:cNvSpPr txBox="1"/>
      </xdr:nvSpPr>
      <xdr:spPr>
        <a:xfrm>
          <a:off x="28575" y="9523"/>
          <a:ext cx="16021050" cy="6934202"/>
        </a:xfrm>
        <a:prstGeom prst="rect">
          <a:avLst/>
        </a:prstGeom>
        <a:solidFill>
          <a:srgbClr val="0070C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600">
              <a:solidFill>
                <a:schemeClr val="bg1"/>
              </a:solidFill>
            </a:rPr>
            <a:t>The below examples will be used to illustrate</a:t>
          </a:r>
          <a:r>
            <a:rPr lang="en-US" sz="1600" baseline="0">
              <a:solidFill>
                <a:schemeClr val="bg1"/>
              </a:solidFill>
            </a:rPr>
            <a:t> the Balancing Operating Reserve calculations when the resource is verbally dispatched. </a:t>
          </a:r>
        </a:p>
        <a:p>
          <a:endParaRPr lang="en-US" sz="1600" baseline="0">
            <a:solidFill>
              <a:schemeClr val="bg1"/>
            </a:solidFill>
          </a:endParaRPr>
        </a:p>
        <a:p>
          <a:r>
            <a:rPr lang="en-US" sz="1600" baseline="0">
              <a:solidFill>
                <a:schemeClr val="bg1"/>
              </a:solidFill>
            </a:rPr>
            <a:t>These examples will focus on the tracking desired and the connection between the Balancing Operating Reserve LOC credit and Balancing Operating Reserve Net Revenue calculation when the resource is manually dispatched down from where the resource would have been dispatched economically. </a:t>
          </a:r>
        </a:p>
        <a:p>
          <a:endParaRPr lang="en-US" sz="1600" baseline="0">
            <a:solidFill>
              <a:schemeClr val="bg1"/>
            </a:solidFill>
          </a:endParaRPr>
        </a:p>
        <a:p>
          <a:r>
            <a:rPr lang="en-US" sz="1600">
              <a:solidFill>
                <a:schemeClr val="bg1"/>
              </a:solidFill>
              <a:effectLst/>
              <a:latin typeface="+mn-lt"/>
              <a:ea typeface="+mn-ea"/>
              <a:cs typeface="+mn-cs"/>
            </a:rPr>
            <a:t>Once a verbal/manual override is in place, depending on where the location of the override is (ecomax/ecomin) Tracking Desired will consider these new parmaters to determine the appropriate Tracking Desired MW value.  The Tracking Desired MW value will reflect the manual dispatch of the resource accurately therefore PJM can measure how well the resource followed the verbal/manual dispatch instruction.</a:t>
          </a:r>
        </a:p>
        <a:p>
          <a:endParaRPr lang="en-US" sz="1600" baseline="0">
            <a:solidFill>
              <a:schemeClr val="bg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600">
              <a:solidFill>
                <a:schemeClr val="bg1"/>
              </a:solidFill>
              <a:effectLst/>
              <a:latin typeface="+mn-lt"/>
              <a:ea typeface="+mn-ea"/>
              <a:cs typeface="+mn-cs"/>
            </a:rPr>
            <a:t>It is important to note, a verbally reduced resource creates the potential for double counting between the Balancing Operating Reserve LOC Credit and the Balancing Operating Reserve Net  Revenue. </a:t>
          </a:r>
        </a:p>
        <a:p>
          <a:endParaRPr lang="en-US" sz="1600" baseline="0">
            <a:solidFill>
              <a:schemeClr val="bg1"/>
            </a:solidFill>
          </a:endParaRPr>
        </a:p>
        <a:p>
          <a:r>
            <a:rPr lang="en-US" sz="1600" baseline="0">
              <a:solidFill>
                <a:schemeClr val="bg1"/>
              </a:solidFill>
            </a:rPr>
            <a:t>The Balancing Operating Reserve LOC Credit compensates the resource for the forgone profit that the resource surrendered to follow the verbal instruction. The forgone profit from the verbal instruction is not currently accounted for in the status quo calculation of Balancing Operating Reserves. This results in a lower Balancing Operating Reserve Net Revenue. The lower Balancing Operating Reserve Net Revenue would result in a make-whole payment (if needed), from the verbal reduction instruction, due to not including the forgone profit that was attained through the Balancing Operating Reserve LOC Credit. The status quo Balancing Operating Reserve calculation is provided in the examples below with the label of "Double Counting / Balancing Operating Reserves Status Quo" to help illustrate this fact.</a:t>
          </a:r>
        </a:p>
        <a:p>
          <a:endParaRPr lang="en-US" sz="1600" baseline="0">
            <a:solidFill>
              <a:schemeClr val="bg1"/>
            </a:solidFill>
          </a:endParaRPr>
        </a:p>
        <a:p>
          <a:r>
            <a:rPr lang="en-US" sz="1600" baseline="0">
              <a:solidFill>
                <a:schemeClr val="bg1"/>
              </a:solidFill>
            </a:rPr>
            <a:t>There are three new blue boxes in each example below to help with the connection between the PJM bill, Profit/Loss calculations and the Balancing Operating Reserve Calculation.</a:t>
          </a:r>
        </a:p>
        <a:p>
          <a:r>
            <a:rPr lang="en-US" sz="1600" baseline="0">
              <a:solidFill>
                <a:schemeClr val="bg1"/>
              </a:solidFill>
            </a:rPr>
            <a:t>The first box is the calculation of the Balancing Operating Reserve LOC Credit. This is labeled Operating Reserve LOC. This is the calculation of the forgone profit the resource would have earned, if not verbally instructed to reduce. The calculation for the forgone profit is (LMP - Cost from Verbal Dispatch instruction up to Economic Dispatch Instruction in $/MW) * (Economic Dispatch Instruction MW - Verbal Dispatch Instruction MW).   </a:t>
          </a:r>
        </a:p>
        <a:p>
          <a:endParaRPr lang="en-US" sz="1600" baseline="0">
            <a:solidFill>
              <a:schemeClr val="bg1"/>
            </a:solidFill>
          </a:endParaRPr>
        </a:p>
        <a:p>
          <a:r>
            <a:rPr lang="en-US" sz="1600" baseline="0">
              <a:solidFill>
                <a:schemeClr val="bg1"/>
              </a:solidFill>
            </a:rPr>
            <a:t>The second box is labeled PJM bill. This box reflects the revenue that is received for the Energy Market (Day-ahead and Balancing) and Balancing Operating Reserve LOC Credit. </a:t>
          </a:r>
        </a:p>
        <a:p>
          <a:endParaRPr lang="en-US" sz="1600" baseline="0">
            <a:solidFill>
              <a:schemeClr val="bg1"/>
            </a:solidFill>
          </a:endParaRPr>
        </a:p>
        <a:p>
          <a:r>
            <a:rPr lang="en-US" sz="1600" baseline="0">
              <a:solidFill>
                <a:schemeClr val="bg1"/>
              </a:solidFill>
            </a:rPr>
            <a:t>The PJM bill box is used in conjunction with the third box labeled Profit/Loss. The Profit/Loss box is reflective of the Revenue received through the PJM bill minus the cost of the MW produced.</a:t>
          </a:r>
        </a:p>
        <a:p>
          <a:r>
            <a:rPr lang="en-US" sz="1600" baseline="0">
              <a:solidFill>
                <a:schemeClr val="bg1"/>
              </a:solidFill>
            </a:rPr>
            <a:t>The profit/loss should typically match with the Balancing Operating Reserve Net Revenue of Step 2 in the Balancing Operating Reserve calculation. </a:t>
          </a:r>
          <a:endParaRPr lang="en-US" sz="1600">
            <a:solidFill>
              <a:schemeClr val="bg1"/>
            </a:solidFill>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226"/>
  <sheetViews>
    <sheetView tabSelected="1" zoomScaleNormal="100" workbookViewId="0">
      <selection activeCell="A254" sqref="A254"/>
    </sheetView>
  </sheetViews>
  <sheetFormatPr defaultRowHeight="15" x14ac:dyDescent="0.25"/>
  <cols>
    <col min="1" max="1" width="20.140625" bestFit="1" customWidth="1"/>
    <col min="2" max="2" width="6" bestFit="1" customWidth="1"/>
    <col min="5" max="5" width="9.85546875" bestFit="1" customWidth="1"/>
    <col min="12" max="12" width="9.5703125" customWidth="1"/>
    <col min="13" max="13" width="11.28515625" customWidth="1"/>
    <col min="14" max="14" width="10.85546875" customWidth="1"/>
    <col min="15" max="15" width="10.5703125" customWidth="1"/>
    <col min="16" max="16" width="10.28515625" customWidth="1"/>
    <col min="20" max="20" width="12.7109375" customWidth="1"/>
    <col min="21" max="21" width="9.85546875" bestFit="1" customWidth="1"/>
    <col min="24" max="24" width="10.42578125" customWidth="1"/>
    <col min="27" max="27" width="9.85546875" bestFit="1" customWidth="1"/>
    <col min="29" max="29" width="10.5703125" bestFit="1" customWidth="1"/>
  </cols>
  <sheetData>
    <row r="1" spans="1:27" ht="138" customHeight="1" x14ac:dyDescent="0.25"/>
    <row r="2" spans="1:27" ht="114" customHeight="1" x14ac:dyDescent="0.25"/>
    <row r="3" spans="1:27" ht="165.75" customHeight="1" x14ac:dyDescent="0.25"/>
    <row r="4" spans="1:27" ht="127.5" customHeight="1" x14ac:dyDescent="0.25"/>
    <row r="5" spans="1:27" ht="18.75" x14ac:dyDescent="0.3">
      <c r="A5" s="186" t="s">
        <v>68</v>
      </c>
      <c r="B5" s="186"/>
      <c r="C5" s="186"/>
      <c r="D5" s="186"/>
      <c r="E5" s="186"/>
      <c r="F5" s="186"/>
      <c r="G5" s="186"/>
      <c r="H5" s="186"/>
      <c r="I5" s="186"/>
      <c r="J5" s="186"/>
      <c r="K5" s="186"/>
      <c r="L5" s="186"/>
      <c r="M5" s="186"/>
      <c r="N5" s="186"/>
      <c r="O5" s="186"/>
      <c r="P5" s="186"/>
      <c r="Q5" s="186"/>
      <c r="R5" s="186"/>
      <c r="S5" s="186"/>
      <c r="T5" s="186"/>
      <c r="U5" s="186"/>
      <c r="V5" s="186"/>
      <c r="W5" s="186"/>
      <c r="X5" s="186"/>
    </row>
    <row r="6" spans="1:27" ht="21.75" thickBot="1" x14ac:dyDescent="0.4">
      <c r="A6" s="1" t="s">
        <v>67</v>
      </c>
      <c r="B6" s="1"/>
      <c r="C6" s="1"/>
      <c r="D6" s="1"/>
      <c r="E6" s="1"/>
      <c r="F6" s="1"/>
      <c r="G6" s="1"/>
      <c r="H6" s="1"/>
      <c r="I6" s="1"/>
      <c r="J6" s="1"/>
      <c r="K6" s="1"/>
      <c r="L6" s="1"/>
      <c r="M6" s="1"/>
      <c r="N6" s="1"/>
      <c r="O6" s="1"/>
      <c r="P6" s="1"/>
      <c r="Q6" s="2"/>
      <c r="R6" s="2"/>
      <c r="S6" s="2"/>
      <c r="T6" s="2"/>
    </row>
    <row r="7" spans="1:27" ht="15.75" thickBot="1" x14ac:dyDescent="0.3">
      <c r="A7" s="3" t="s">
        <v>0</v>
      </c>
      <c r="B7" s="4"/>
      <c r="C7" s="4"/>
      <c r="D7" s="5"/>
      <c r="E7" s="6" t="s">
        <v>1</v>
      </c>
      <c r="F7" s="7"/>
      <c r="G7" s="8"/>
      <c r="H7" s="9" t="s">
        <v>2</v>
      </c>
      <c r="I7" s="10"/>
      <c r="J7" s="11"/>
      <c r="K7" s="9" t="s">
        <v>3</v>
      </c>
      <c r="L7" s="10"/>
      <c r="M7" s="11"/>
      <c r="N7" s="9" t="s">
        <v>4</v>
      </c>
      <c r="O7" s="10"/>
      <c r="P7" s="11"/>
      <c r="Q7" s="9" t="s">
        <v>63</v>
      </c>
      <c r="R7" s="10"/>
      <c r="S7" s="10"/>
      <c r="T7" s="11"/>
    </row>
    <row r="8" spans="1:27" ht="30.75" thickBot="1" x14ac:dyDescent="0.3">
      <c r="A8" s="12" t="s">
        <v>5</v>
      </c>
      <c r="B8" s="13" t="s">
        <v>6</v>
      </c>
      <c r="C8" s="13" t="s">
        <v>7</v>
      </c>
      <c r="D8" s="14" t="s">
        <v>8</v>
      </c>
      <c r="E8" s="15" t="s">
        <v>9</v>
      </c>
      <c r="F8" s="16" t="s">
        <v>10</v>
      </c>
      <c r="G8" s="17" t="s">
        <v>11</v>
      </c>
      <c r="H8" s="15" t="s">
        <v>9</v>
      </c>
      <c r="I8" s="16" t="s">
        <v>12</v>
      </c>
      <c r="J8" s="17" t="s">
        <v>13</v>
      </c>
      <c r="K8" s="15" t="s">
        <v>9</v>
      </c>
      <c r="L8" s="16" t="s">
        <v>12</v>
      </c>
      <c r="M8" s="17" t="s">
        <v>13</v>
      </c>
      <c r="N8" s="15" t="s">
        <v>9</v>
      </c>
      <c r="O8" s="16" t="s">
        <v>12</v>
      </c>
      <c r="P8" s="17" t="s">
        <v>13</v>
      </c>
      <c r="Q8" s="18" t="s">
        <v>14</v>
      </c>
      <c r="R8" s="13" t="s">
        <v>15</v>
      </c>
      <c r="S8" s="13" t="s">
        <v>12</v>
      </c>
      <c r="T8" s="19" t="s">
        <v>13</v>
      </c>
    </row>
    <row r="9" spans="1:27" x14ac:dyDescent="0.25">
      <c r="A9" s="20">
        <v>1</v>
      </c>
      <c r="B9" s="21">
        <v>0</v>
      </c>
      <c r="C9" s="21">
        <v>50</v>
      </c>
      <c r="D9" s="22">
        <v>20</v>
      </c>
      <c r="E9" s="23">
        <f>IF(AND(C23&gt;B9,C23&lt;=C9),C23,0)</f>
        <v>0</v>
      </c>
      <c r="F9" s="24">
        <f>IF(C23&gt;0,D9,0)</f>
        <v>20</v>
      </c>
      <c r="G9" s="22">
        <f>IF(E9&gt;0,IF(E9=B9,D9,IF(AND(E9&gt;B9,E9&lt;=C9),D9+(E9-B9)*((D9-D9)/(C9-B9)),0)),0)</f>
        <v>0</v>
      </c>
      <c r="H9" s="25">
        <f>IF(AND(C32&gt;B9,C32&lt;=C9),C32,0)</f>
        <v>0</v>
      </c>
      <c r="I9" s="24">
        <f>IF(C32&gt;0,D9,0)</f>
        <v>20</v>
      </c>
      <c r="J9" s="22">
        <f>IF(H9&gt;0,IF(H9=B9,D9,IF(AND(H9&gt;B9,H9&lt;=C9),D9+(H9-B9)*((D9-D9)/(C9-B9)),0)),0)</f>
        <v>0</v>
      </c>
      <c r="K9" s="26">
        <f>IF(AND(C34&gt;B9,C34&lt;=C9),C34,0)</f>
        <v>0</v>
      </c>
      <c r="L9" s="24">
        <f>IF(C32&gt;0,D9,0)</f>
        <v>20</v>
      </c>
      <c r="M9" s="22">
        <f>IF(K9&gt;0,IF(K9=B9,D9,IF(AND(K9&gt;B9,K9&lt;=C9),D9+(K9-B9)*((D9-D9)/(C9-B9)),0)),0)</f>
        <v>0</v>
      </c>
      <c r="N9" s="26">
        <f>IF(AND(C35&gt;E9,C35&lt;=F9),C35,0)</f>
        <v>0</v>
      </c>
      <c r="O9" s="24">
        <f>IF(C35&gt;0,D9,0)</f>
        <v>20</v>
      </c>
      <c r="P9" s="22">
        <f>IF(N9&gt;0,IF(N9=B9,D9,IF(AND(N9&gt;B9,N9&lt;=C9),D9+(N9-B9)*((D9-D9)/(C9-B9)),0)),0)</f>
        <v>0</v>
      </c>
      <c r="Q9" s="26">
        <f>IF(MIN(C34,C48)=C9,C9,0)</f>
        <v>0</v>
      </c>
      <c r="R9" s="21">
        <f>IF(MAX(C35,C48)=C9,C9,0)</f>
        <v>0</v>
      </c>
      <c r="S9" s="21">
        <f>IF(Q9&gt;0,D9,0)</f>
        <v>0</v>
      </c>
      <c r="T9" s="27">
        <f>IF(R9&gt;0,IF(R9=B9,D9,IF(AND(R9&gt;B9,R9&lt;=C9),D9+(R9-B9)*((D9-D9)/(C9-B9)),0)),0)</f>
        <v>0</v>
      </c>
    </row>
    <row r="10" spans="1:27" x14ac:dyDescent="0.25">
      <c r="A10" s="28">
        <v>2</v>
      </c>
      <c r="B10" s="29">
        <v>50</v>
      </c>
      <c r="C10" s="29">
        <v>75</v>
      </c>
      <c r="D10" s="30">
        <v>25</v>
      </c>
      <c r="E10" s="31">
        <f>IF(AND(C23&gt;B10,C23&lt;=C10),C23,0)</f>
        <v>75</v>
      </c>
      <c r="F10" s="32">
        <v>0</v>
      </c>
      <c r="G10" s="30">
        <f>IF(E10&gt;0,IF(AND(E10&gt;B10,E10&lt;C10),D9+(E10-B10)*((D10-D9)/(C10-B10)),0),0)</f>
        <v>0</v>
      </c>
      <c r="H10" s="33">
        <f>IF(AND(C32&gt;B10,C32&lt;=C10),C32,0)</f>
        <v>65</v>
      </c>
      <c r="I10" s="32">
        <v>0</v>
      </c>
      <c r="J10" s="30">
        <f>IF(H10&gt;0,IF(H10=B10,D10,IF(AND(H10&gt;B10,H10&lt;=C10),D9+(H10-B10)*((D10-D9)/(C10-B10)),0)),0)</f>
        <v>23</v>
      </c>
      <c r="K10" s="33">
        <f>IF(AND(C34&gt;B10,C34&lt;=C10),C34,0)</f>
        <v>65</v>
      </c>
      <c r="L10" s="32">
        <v>0</v>
      </c>
      <c r="M10" s="30">
        <f>IF(K10&gt;0,IF(K10=B10,D10,IF(AND(K10&gt;B10,K10&lt;=C10),D9+(K10-B10)*((D10-D9)/(C10-B10)),0)),0)</f>
        <v>23</v>
      </c>
      <c r="N10" s="33">
        <f>IF(AND(C35&gt;B10,C35&lt;=C10),C35,0)</f>
        <v>0</v>
      </c>
      <c r="O10" s="32">
        <v>0</v>
      </c>
      <c r="P10" s="30">
        <f>IF(N10&gt;0,IF(N10=B10,D10,IF(AND(N10&gt;B10,N10&lt;=C10),D9+(N10-B10)*((D10-D9)/(C10-B10)),0)),0)</f>
        <v>0</v>
      </c>
      <c r="Q10" s="33">
        <f>IF(AND(MIN(C34,C48)&gt;B10,MIN(C34,C48)&lt;=C10),MIN(C34,C48),0)</f>
        <v>65</v>
      </c>
      <c r="R10" s="29">
        <f>IF(AND(MAX(C35,C48)&gt;B10,MAX(C35,C48)&lt;=C10),MAX(C35,C48),0)</f>
        <v>0</v>
      </c>
      <c r="S10" s="29">
        <f>IF(Q10&gt;0,IF(Q10=B10,D10,IF(AND(Q10&gt;B10,Q10&lt;=C10),D9+(Q10-B10)*((D10-D9)/(C10-B10)),0)),0)</f>
        <v>23</v>
      </c>
      <c r="T10" s="34">
        <f>IF(R10&gt;0,IF(R10=B10,D10,IF(AND(R10&gt;B10,R10&lt;=C10),D9+(R10-B10)*((D10-D9)/(C10-B10)),0)),0)</f>
        <v>0</v>
      </c>
    </row>
    <row r="11" spans="1:27" ht="15.75" thickBot="1" x14ac:dyDescent="0.3">
      <c r="A11" s="35">
        <v>3</v>
      </c>
      <c r="B11" s="36">
        <v>75</v>
      </c>
      <c r="C11" s="36">
        <v>100</v>
      </c>
      <c r="D11" s="37">
        <v>30</v>
      </c>
      <c r="E11" s="38">
        <f>IF(AND(C23&gt;B11,C23&lt;=C11),C23,IF(C23&gt;C11,C23,0))</f>
        <v>0</v>
      </c>
      <c r="F11" s="39">
        <v>0</v>
      </c>
      <c r="G11" s="37">
        <f>IF(E11&gt;0,IF(E11=C11,D11,IF(AND(E11&gt;B11,E11&lt;C11),D10+(E11-B11)*((D11-D10)/(C11-B11)),IF(E11&gt;C11,D11,0))),0)</f>
        <v>0</v>
      </c>
      <c r="H11" s="40">
        <f>IF(AND(C32&gt;B11,C32&lt;=C11),C32,IF(C32&gt;C11,C32,0))</f>
        <v>0</v>
      </c>
      <c r="I11" s="39">
        <v>0</v>
      </c>
      <c r="J11" s="37">
        <f>IF(H11&gt;0,IF(H11=B11,D11,IF(AND(H11&gt;B11,H11&lt;=C11),D10+(H11-B11)*((D11-D10)/(C11-B11)),IF(H11&gt;C11,D11,0))),0)</f>
        <v>0</v>
      </c>
      <c r="K11" s="40">
        <f>IF(AND(C34&gt;B11,C34&lt;=C11),C34,IF(C34&gt;C11,C34,0))</f>
        <v>0</v>
      </c>
      <c r="L11" s="39">
        <v>0</v>
      </c>
      <c r="M11" s="37">
        <f>IF(K11&gt;0,IF(K11=B11,D11,IF(AND(K11&gt;B11,K11&lt;=C11),D10+(K11-B11)*((D11-D10)/(C11-B11)),IF(K11&gt;C11,D11,0))),0)</f>
        <v>0</v>
      </c>
      <c r="N11" s="40">
        <f>IF(AND(C35&gt;B11,C35&lt;=C11),C35,IF(C35&gt;C11,C35,0))</f>
        <v>100</v>
      </c>
      <c r="O11" s="39">
        <v>0</v>
      </c>
      <c r="P11" s="37">
        <f>IF(N11&gt;0,IF(N11=B11,D11,IF(AND(N11&gt;B11,N11&lt;=C11),D10+(N11-B11)*((D11-D10)/(C11-B11)),IF(N11&gt;C11,D11,0))),0)</f>
        <v>30</v>
      </c>
      <c r="Q11" s="40">
        <f>IF(AND(MIN(C34,C48)&gt;B11,MIN(C34,C48)&lt;=C11),MIN(C34,C48),0)</f>
        <v>0</v>
      </c>
      <c r="R11" s="36">
        <f>IF(AND(MAX(C35,C48)&gt;B11,MAX(C35,C48)&lt;=C11),MAX(C35,C48),0)</f>
        <v>100</v>
      </c>
      <c r="S11" s="36">
        <f>IF(Q11&gt;0,IF(Q11=B11,D11,IF(AND(Q11&gt;B11,Q11&lt;=C11),D10+(Q11-B11)*((D11-D10)/(C11-B11)),IF(Q11&gt;C11,D11,0))),0)</f>
        <v>0</v>
      </c>
      <c r="T11" s="41">
        <f>IF(R11&gt;0,IF(R11=B11,D11,IF(AND(R11&gt;B11,R11&lt;=C11),D10+(R11-B11)*((D11-D10)/(C11-B11)),IF(R11&gt;C11,D11,0))),0)</f>
        <v>30</v>
      </c>
    </row>
    <row r="12" spans="1:27" ht="15.75" thickBot="1" x14ac:dyDescent="0.3">
      <c r="J12" s="42"/>
    </row>
    <row r="13" spans="1:27" ht="15.75" thickBot="1" x14ac:dyDescent="0.3">
      <c r="A13" s="9" t="s">
        <v>1</v>
      </c>
      <c r="B13" s="9"/>
      <c r="C13" s="10"/>
      <c r="D13" s="10"/>
      <c r="E13" s="10"/>
      <c r="F13" s="11"/>
      <c r="G13" s="43"/>
      <c r="H13" s="6" t="s">
        <v>16</v>
      </c>
      <c r="I13" s="7"/>
      <c r="J13" s="7"/>
      <c r="K13" s="7"/>
      <c r="L13" s="7"/>
      <c r="M13" s="8"/>
      <c r="O13" s="6" t="s">
        <v>17</v>
      </c>
      <c r="P13" s="7"/>
      <c r="Q13" s="7"/>
      <c r="R13" s="7"/>
      <c r="S13" s="7"/>
      <c r="T13" s="8"/>
      <c r="V13" s="6" t="s">
        <v>64</v>
      </c>
      <c r="W13" s="7"/>
      <c r="X13" s="7"/>
      <c r="Y13" s="7"/>
      <c r="Z13" s="7"/>
      <c r="AA13" s="8"/>
    </row>
    <row r="14" spans="1:27" ht="30.75" thickBot="1" x14ac:dyDescent="0.3">
      <c r="A14" s="18" t="s">
        <v>5</v>
      </c>
      <c r="B14" s="13" t="s">
        <v>6</v>
      </c>
      <c r="C14" s="13" t="s">
        <v>7</v>
      </c>
      <c r="D14" s="13" t="s">
        <v>12</v>
      </c>
      <c r="E14" s="13" t="s">
        <v>13</v>
      </c>
      <c r="F14" s="5" t="s">
        <v>18</v>
      </c>
      <c r="G14" s="43"/>
      <c r="H14" s="44" t="s">
        <v>5</v>
      </c>
      <c r="I14" s="16" t="s">
        <v>6</v>
      </c>
      <c r="J14" s="16" t="s">
        <v>7</v>
      </c>
      <c r="K14" s="16" t="s">
        <v>12</v>
      </c>
      <c r="L14" s="16" t="s">
        <v>13</v>
      </c>
      <c r="M14" s="17" t="s">
        <v>18</v>
      </c>
      <c r="O14" s="44" t="s">
        <v>5</v>
      </c>
      <c r="P14" s="16" t="s">
        <v>6</v>
      </c>
      <c r="Q14" s="16" t="s">
        <v>7</v>
      </c>
      <c r="R14" s="16" t="s">
        <v>12</v>
      </c>
      <c r="S14" s="16" t="s">
        <v>13</v>
      </c>
      <c r="T14" s="17" t="s">
        <v>18</v>
      </c>
      <c r="V14" s="44" t="s">
        <v>5</v>
      </c>
      <c r="W14" s="16" t="s">
        <v>6</v>
      </c>
      <c r="X14" s="16" t="s">
        <v>15</v>
      </c>
      <c r="Y14" s="16" t="s">
        <v>12</v>
      </c>
      <c r="Z14" s="16" t="s">
        <v>13</v>
      </c>
      <c r="AA14" s="17" t="s">
        <v>18</v>
      </c>
    </row>
    <row r="15" spans="1:27" x14ac:dyDescent="0.25">
      <c r="A15" s="20">
        <v>1</v>
      </c>
      <c r="B15" s="21">
        <v>0</v>
      </c>
      <c r="C15" s="21">
        <f>IF(AND(C23&gt;B9,C23&lt;C9),C23,IF(C23&gt;=C9,C9,0))</f>
        <v>50</v>
      </c>
      <c r="D15" s="24">
        <f>MIN(D9,F9)</f>
        <v>20</v>
      </c>
      <c r="E15" s="24">
        <f>IF(AND(C23&gt;B9,C23&lt;C9),G9,IF(C23&gt;=C9,D9,0))</f>
        <v>20</v>
      </c>
      <c r="F15" s="22">
        <f>(C15-B15)*(D15+E15)/2</f>
        <v>1000</v>
      </c>
      <c r="G15" s="45"/>
      <c r="H15" s="20">
        <v>1</v>
      </c>
      <c r="I15" s="21">
        <v>0</v>
      </c>
      <c r="J15" s="21">
        <f>IF(AND(C32&gt;B9,C32&lt;C9),C32,IF(C32&gt;=C9,C9,0))</f>
        <v>50</v>
      </c>
      <c r="K15" s="24">
        <f>MIN(D9,I9)</f>
        <v>20</v>
      </c>
      <c r="L15" s="24">
        <f>IF(AND(C32&gt;B9,C32&lt;C9),J9,IF(C32&gt;=C9,D9,0))</f>
        <v>20</v>
      </c>
      <c r="M15" s="22">
        <f>(J15-I15)*(K15+L15)/2</f>
        <v>1000</v>
      </c>
      <c r="O15" s="46">
        <v>1</v>
      </c>
      <c r="P15" s="47">
        <v>0</v>
      </c>
      <c r="Q15" s="47">
        <f>IF(AND(C34&gt;B9,C34&lt;C9),C34,IF(C34&gt;=C9,C9,0))</f>
        <v>50</v>
      </c>
      <c r="R15" s="24">
        <f>MIN(D9,L9)</f>
        <v>20</v>
      </c>
      <c r="S15" s="24">
        <f>IF(AND(C34&gt;B9,C34&lt;C9),M9,IF(C34&gt;=C9,D9,0))</f>
        <v>20</v>
      </c>
      <c r="T15" s="22">
        <f>(Q15-P15)*(R15+S15)/2</f>
        <v>1000</v>
      </c>
      <c r="V15" s="46">
        <v>1</v>
      </c>
      <c r="W15" s="47">
        <v>0</v>
      </c>
      <c r="X15" s="47">
        <f>MIN(Q9,C9)</f>
        <v>0</v>
      </c>
      <c r="Y15" s="24">
        <f>MIN(D9,S9)</f>
        <v>0</v>
      </c>
      <c r="Z15" s="24">
        <f>IF(R9=C9,T9,0)</f>
        <v>0</v>
      </c>
      <c r="AA15" s="22">
        <f>(X15-W15)*(Y15+Z15)/2</f>
        <v>0</v>
      </c>
    </row>
    <row r="16" spans="1:27" x14ac:dyDescent="0.25">
      <c r="A16" s="28">
        <v>2</v>
      </c>
      <c r="B16" s="29">
        <f>IF(C23&gt;B10,C15,0)</f>
        <v>50</v>
      </c>
      <c r="C16" s="29">
        <f>IF(AND(C23&gt;B10,C23&lt;C10),C23,IF(C23&gt;=C10,C10,0))</f>
        <v>75</v>
      </c>
      <c r="D16" s="32">
        <f>IF(B16&lt;&gt;0,E15,0)</f>
        <v>20</v>
      </c>
      <c r="E16" s="32">
        <f>IF(AND(C23&gt;B10,C23&lt;C10),G10,IF(C23&gt;=C10,D10,0))</f>
        <v>25</v>
      </c>
      <c r="F16" s="30">
        <f t="shared" ref="F16:F18" si="0">(C16-B16)*(D16+E16)/2</f>
        <v>562.5</v>
      </c>
      <c r="G16" s="48"/>
      <c r="H16" s="28">
        <v>2</v>
      </c>
      <c r="I16" s="29">
        <f>IF(C32&gt;B10,J15,0)</f>
        <v>50</v>
      </c>
      <c r="J16" s="29">
        <f>IF(AND(C32&gt;B10,C32&lt;C10),C32,IF(C32&gt;=C10,C10,0))</f>
        <v>65</v>
      </c>
      <c r="K16" s="32">
        <f>IF(I16&lt;&gt;0,L15,0)</f>
        <v>20</v>
      </c>
      <c r="L16" s="32">
        <f>IF(AND(C32&gt;B10,C32&lt;C10),J10,IF(C32&gt;=C10,D10,0))</f>
        <v>23</v>
      </c>
      <c r="M16" s="30">
        <f t="shared" ref="M16:M17" si="1">(J16-I16)*(K16+L16)/2</f>
        <v>322.5</v>
      </c>
      <c r="O16" s="49">
        <v>2</v>
      </c>
      <c r="P16" s="50">
        <f>IF(C34&gt;B10,Q15,0)</f>
        <v>50</v>
      </c>
      <c r="Q16" s="50">
        <f>IF(AND(C34&gt;B10,C34&lt;C10),C34,IF(C34&gt;=C10,C10,0))</f>
        <v>65</v>
      </c>
      <c r="R16" s="32">
        <f>IF(P16&lt;&gt;0,S15,0)</f>
        <v>20</v>
      </c>
      <c r="S16" s="32">
        <f>IF(AND(C34&gt;B10,C34&lt;C10),M10,IF(C34&gt;=C10,D10,0))</f>
        <v>23</v>
      </c>
      <c r="T16" s="30">
        <f t="shared" ref="T16:T18" si="2">(Q16-P16)*(R16+S16)/2</f>
        <v>322.5</v>
      </c>
      <c r="V16" s="49">
        <v>2</v>
      </c>
      <c r="W16" s="50">
        <f>IF(X15&gt;0,B10,MIN(C10,Q10))</f>
        <v>65</v>
      </c>
      <c r="X16" s="50">
        <f>IF(AND(C35&gt;B10,C35&lt;C10,W16&gt;0),C35,IF(C35&gt;=C10,C10,0))</f>
        <v>75</v>
      </c>
      <c r="Y16" s="32">
        <f>IF(W16=Q10,S10,IF(X15&gt;0,D9,0))</f>
        <v>23</v>
      </c>
      <c r="Z16" s="32">
        <f>IF(X16=R10,T10,IF(X16=C10,D10,0))</f>
        <v>25</v>
      </c>
      <c r="AA16" s="30">
        <f t="shared" ref="AA16:AA18" si="3">(X16-W16)*(Y16+Z16)/2</f>
        <v>240</v>
      </c>
    </row>
    <row r="17" spans="1:27" x14ac:dyDescent="0.25">
      <c r="A17" s="28">
        <v>3</v>
      </c>
      <c r="B17" s="29">
        <f>IF(C23&gt;B11,C16,0)</f>
        <v>0</v>
      </c>
      <c r="C17" s="29">
        <f>IF(AND(C23&gt;B11,C23&lt;C11),C23,IF(C23&gt;=C11,C11,0))</f>
        <v>0</v>
      </c>
      <c r="D17" s="32">
        <f t="shared" ref="D17:D18" si="4">IF(B17&lt;&gt;0,E16,0)</f>
        <v>0</v>
      </c>
      <c r="E17" s="32">
        <f>IF(AND(C23&gt;B11,C23&lt;C11),G11,IF(C23&gt;=C11,D11,0))</f>
        <v>0</v>
      </c>
      <c r="F17" s="30">
        <f t="shared" si="0"/>
        <v>0</v>
      </c>
      <c r="G17" s="48"/>
      <c r="H17" s="28">
        <v>3</v>
      </c>
      <c r="I17" s="29">
        <f>IF(C32&gt;B11,J16,0)</f>
        <v>0</v>
      </c>
      <c r="J17" s="29">
        <f>IF(AND(C32&gt;B11,C32&lt;C11),C32,IF(C32&gt;=C11,C11,0))</f>
        <v>0</v>
      </c>
      <c r="K17" s="32">
        <f>IF(I17&lt;&gt;0,L16,0)</f>
        <v>0</v>
      </c>
      <c r="L17" s="32">
        <f>IF(AND(C32&gt;B11,C32&lt;C11),J11,IF(C32&gt;=C11,D11,0))</f>
        <v>0</v>
      </c>
      <c r="M17" s="30">
        <f t="shared" si="1"/>
        <v>0</v>
      </c>
      <c r="O17" s="49">
        <v>3</v>
      </c>
      <c r="P17" s="50">
        <f>IF(C34&gt;B11,Q16,0)</f>
        <v>0</v>
      </c>
      <c r="Q17" s="50">
        <f>IF(AND(C34&gt;B11,C34&lt;C11),C34,IF(C34&gt;=C11,C11,0))</f>
        <v>0</v>
      </c>
      <c r="R17" s="32">
        <f>IF(P17&lt;&gt;0,S16,0)</f>
        <v>0</v>
      </c>
      <c r="S17" s="32">
        <f>IF(AND(C34&gt;B11,C34&lt;C11),M11,IF(C34&gt;=C11,D11,0))</f>
        <v>0</v>
      </c>
      <c r="T17" s="30">
        <f t="shared" si="2"/>
        <v>0</v>
      </c>
      <c r="V17" s="49">
        <v>3</v>
      </c>
      <c r="W17" s="50">
        <f>IF(AND(X16&gt;0,MAX(R9:R11)&gt;C10),B11,MIN(C11,Q11))</f>
        <v>75</v>
      </c>
      <c r="X17" s="50">
        <f>IF(AND(C35&gt;B11,C35&lt;C11,W17&gt;0),C35,IF(C35&gt;=C11,C11,0))</f>
        <v>100</v>
      </c>
      <c r="Y17" s="32">
        <f>IF(W17=Q11,S11,IF(X16&gt;0,D10,0))</f>
        <v>25</v>
      </c>
      <c r="Z17" s="32">
        <f>IF(X17=R11,T11,0)</f>
        <v>30</v>
      </c>
      <c r="AA17" s="30">
        <f t="shared" si="3"/>
        <v>687.5</v>
      </c>
    </row>
    <row r="18" spans="1:27" x14ac:dyDescent="0.25">
      <c r="A18" s="28">
        <v>4</v>
      </c>
      <c r="B18" s="29">
        <f>IF(C23&gt;C11,C17,0)</f>
        <v>0</v>
      </c>
      <c r="C18" s="29">
        <f>IF(C23&gt;C11,C23,0)</f>
        <v>0</v>
      </c>
      <c r="D18" s="32">
        <f t="shared" si="4"/>
        <v>0</v>
      </c>
      <c r="E18" s="32">
        <f>IF(C23&gt;C11,D11,0)</f>
        <v>0</v>
      </c>
      <c r="F18" s="30">
        <f t="shared" si="0"/>
        <v>0</v>
      </c>
      <c r="G18" s="48"/>
      <c r="H18" s="28">
        <v>4</v>
      </c>
      <c r="I18" s="29">
        <f>IF(C32&gt;C11,J17,0)</f>
        <v>0</v>
      </c>
      <c r="J18" s="29">
        <f>IF(C32&gt;C11,C32,0)</f>
        <v>0</v>
      </c>
      <c r="K18" s="32">
        <f>IF(I18&lt;&gt;0,L17,0)</f>
        <v>0</v>
      </c>
      <c r="L18" s="32">
        <f>IF(J18&gt;0,IF(C32&gt;=C11,J11,IF(AND(C32&gt;B11,C32&lt;C11),J11,0)),0)</f>
        <v>0</v>
      </c>
      <c r="M18" s="30">
        <f>(J18-I18)*(K18+L18)/2</f>
        <v>0</v>
      </c>
      <c r="O18" s="49">
        <v>4</v>
      </c>
      <c r="P18" s="50">
        <f>IF(C34&gt;C11,Q17,0)</f>
        <v>0</v>
      </c>
      <c r="Q18" s="50">
        <f>IF(C34&gt;C11,C34,0)</f>
        <v>0</v>
      </c>
      <c r="R18" s="32">
        <f>IF(P18&lt;&gt;0,S17,0)</f>
        <v>0</v>
      </c>
      <c r="S18" s="32">
        <f>IF(Q18&gt;0,IF(C34&gt;=C11,J11,IF(AND(C34&gt;B11,C34&lt;C11),J11,0)),0)</f>
        <v>0</v>
      </c>
      <c r="T18" s="30">
        <f t="shared" si="2"/>
        <v>0</v>
      </c>
      <c r="V18" s="49">
        <v>4</v>
      </c>
      <c r="W18" s="50">
        <f>IF(J35&gt;J11,X17,0)</f>
        <v>0</v>
      </c>
      <c r="X18" s="50">
        <f>IF(J35&gt;J11,J35,IF(AND(J35&gt;J11,J35&lt;J11),J35,0))</f>
        <v>0</v>
      </c>
      <c r="Y18" s="32">
        <f>IF(W18=Q11,S11,IF(X17&gt;0,D11,0))</f>
        <v>0</v>
      </c>
      <c r="Z18" s="32"/>
      <c r="AA18" s="30">
        <f t="shared" si="3"/>
        <v>0</v>
      </c>
    </row>
    <row r="19" spans="1:27" ht="15.75" thickBot="1" x14ac:dyDescent="0.3">
      <c r="A19" s="40"/>
      <c r="B19" s="36"/>
      <c r="C19" s="36"/>
      <c r="D19" s="51"/>
      <c r="E19" s="51"/>
      <c r="F19" s="52">
        <f>SUM(F15:F18)</f>
        <v>1562.5</v>
      </c>
      <c r="G19" s="53"/>
      <c r="H19" s="40"/>
      <c r="I19" s="36"/>
      <c r="J19" s="36"/>
      <c r="K19" s="51"/>
      <c r="L19" s="51"/>
      <c r="M19" s="52">
        <f>SUM(M15:M18)</f>
        <v>1322.5</v>
      </c>
      <c r="O19" s="54"/>
      <c r="P19" s="55"/>
      <c r="Q19" s="55"/>
      <c r="R19" s="55"/>
      <c r="S19" s="55"/>
      <c r="T19" s="52">
        <f>SUM(T15:T18)</f>
        <v>1322.5</v>
      </c>
      <c r="V19" s="54"/>
      <c r="W19" s="55"/>
      <c r="X19" s="55"/>
      <c r="Y19" s="55"/>
      <c r="Z19" s="55"/>
      <c r="AA19" s="52">
        <f>SUM(AA15:AA18)</f>
        <v>927.5</v>
      </c>
    </row>
    <row r="20" spans="1:27" ht="15.75" thickBot="1" x14ac:dyDescent="0.3"/>
    <row r="21" spans="1:27" ht="15.75" thickBot="1" x14ac:dyDescent="0.3">
      <c r="A21" s="56" t="s">
        <v>19</v>
      </c>
      <c r="B21" s="57"/>
      <c r="C21" s="57"/>
      <c r="D21" s="57"/>
      <c r="E21" s="58"/>
      <c r="F21" s="9" t="s">
        <v>20</v>
      </c>
      <c r="G21" s="10"/>
      <c r="H21" s="10"/>
      <c r="I21" s="10"/>
      <c r="J21" s="9"/>
      <c r="K21" s="59"/>
      <c r="L21" s="60"/>
      <c r="M21" s="61" t="s">
        <v>21</v>
      </c>
      <c r="N21" s="62"/>
      <c r="O21" s="62"/>
      <c r="P21" s="62"/>
      <c r="Q21" s="61"/>
      <c r="R21" s="63"/>
      <c r="S21" s="64"/>
      <c r="T21" s="61" t="s">
        <v>22</v>
      </c>
      <c r="U21" s="62"/>
      <c r="V21" s="62"/>
      <c r="W21" s="62"/>
      <c r="X21" s="177"/>
    </row>
    <row r="22" spans="1:27" ht="15.75" thickBot="1" x14ac:dyDescent="0.3">
      <c r="A22" s="65" t="s">
        <v>23</v>
      </c>
      <c r="B22" s="66"/>
      <c r="C22" s="67"/>
      <c r="D22" s="67"/>
      <c r="E22" s="68"/>
      <c r="F22" s="9" t="s">
        <v>24</v>
      </c>
      <c r="G22" s="10"/>
      <c r="H22" s="10"/>
      <c r="I22" s="9"/>
      <c r="J22" s="69" t="s">
        <v>25</v>
      </c>
      <c r="K22" s="70"/>
      <c r="L22" s="71"/>
      <c r="M22" s="61" t="s">
        <v>24</v>
      </c>
      <c r="N22" s="62"/>
      <c r="O22" s="62"/>
      <c r="P22" s="61"/>
      <c r="Q22" s="62" t="s">
        <v>25</v>
      </c>
      <c r="R22" s="72"/>
      <c r="S22" s="73"/>
      <c r="T22" s="61" t="s">
        <v>24</v>
      </c>
      <c r="U22" s="62"/>
      <c r="V22" s="62"/>
      <c r="W22" s="61"/>
      <c r="X22" s="72" t="s">
        <v>25</v>
      </c>
    </row>
    <row r="23" spans="1:27" x14ac:dyDescent="0.25">
      <c r="A23" s="74" t="s">
        <v>9</v>
      </c>
      <c r="B23" s="75"/>
      <c r="C23" s="76">
        <v>75</v>
      </c>
      <c r="D23" s="77"/>
      <c r="F23" s="78" t="s">
        <v>26</v>
      </c>
      <c r="G23" s="79"/>
      <c r="H23" s="79"/>
      <c r="I23" s="79"/>
      <c r="J23" s="24">
        <f>C23*C24</f>
        <v>1875</v>
      </c>
      <c r="K23" s="80"/>
      <c r="L23" s="81"/>
      <c r="M23" s="82"/>
      <c r="N23" s="83"/>
      <c r="O23" s="83"/>
      <c r="P23" s="83"/>
      <c r="Q23" s="84"/>
      <c r="R23" s="85"/>
      <c r="S23" s="81"/>
      <c r="T23" s="82"/>
      <c r="U23" s="83"/>
      <c r="V23" s="83"/>
      <c r="W23" s="83"/>
      <c r="X23" s="178"/>
    </row>
    <row r="24" spans="1:27" x14ac:dyDescent="0.25">
      <c r="A24" s="86" t="s">
        <v>27</v>
      </c>
      <c r="B24" s="87"/>
      <c r="C24" s="88">
        <v>25</v>
      </c>
      <c r="D24" s="89"/>
      <c r="F24" s="90" t="str">
        <f>" "</f>
        <v xml:space="preserve"> </v>
      </c>
      <c r="G24" s="91"/>
      <c r="H24" s="91"/>
      <c r="I24" s="91"/>
      <c r="J24" s="32"/>
      <c r="K24" s="92"/>
      <c r="L24" s="81"/>
      <c r="M24" s="101" t="s">
        <v>36</v>
      </c>
      <c r="N24" s="94"/>
      <c r="O24" s="94"/>
      <c r="P24" s="94"/>
      <c r="Q24" s="95">
        <f>MAX(C33-AA19/(C35-C32),0)*(C35-C32)</f>
        <v>1172.5</v>
      </c>
      <c r="R24" s="96"/>
      <c r="S24" s="97"/>
      <c r="T24" s="93" t="s">
        <v>28</v>
      </c>
      <c r="U24" s="94"/>
      <c r="V24" s="94"/>
      <c r="W24" s="94"/>
      <c r="X24" s="179">
        <f>J23</f>
        <v>1875</v>
      </c>
    </row>
    <row r="25" spans="1:27" x14ac:dyDescent="0.25">
      <c r="A25" s="86" t="s">
        <v>29</v>
      </c>
      <c r="B25" s="87"/>
      <c r="C25" s="88">
        <v>0</v>
      </c>
      <c r="D25" s="89"/>
      <c r="F25" s="99" t="str">
        <f>"DA Incremental Cost @ "&amp;C23&amp;" MW"</f>
        <v>DA Incremental Cost @ 75 MW</v>
      </c>
      <c r="G25" s="100"/>
      <c r="H25" s="100"/>
      <c r="I25" s="100"/>
      <c r="J25" s="32">
        <f>F19</f>
        <v>1562.5</v>
      </c>
      <c r="K25" s="92"/>
      <c r="L25" s="81"/>
      <c r="M25" s="101"/>
      <c r="N25" s="102"/>
      <c r="O25" s="102"/>
      <c r="P25" s="102"/>
      <c r="Q25" s="95"/>
      <c r="R25" s="96"/>
      <c r="S25" s="81"/>
      <c r="T25" s="101"/>
      <c r="U25" s="102"/>
      <c r="V25" s="102"/>
      <c r="W25" s="102"/>
      <c r="X25" s="179"/>
    </row>
    <row r="26" spans="1:27" x14ac:dyDescent="0.25">
      <c r="A26" s="86" t="s">
        <v>30</v>
      </c>
      <c r="B26" s="87"/>
      <c r="C26" s="88">
        <v>0</v>
      </c>
      <c r="D26" s="89"/>
      <c r="E26" s="103"/>
      <c r="F26" s="99" t="s">
        <v>31</v>
      </c>
      <c r="G26" s="100"/>
      <c r="H26" s="100"/>
      <c r="I26" s="100"/>
      <c r="J26" s="32">
        <f>C26</f>
        <v>0</v>
      </c>
      <c r="K26" s="92"/>
      <c r="L26" s="81"/>
      <c r="M26" s="93"/>
      <c r="N26" s="94"/>
      <c r="O26" s="94"/>
      <c r="P26" s="94"/>
      <c r="Q26" s="95"/>
      <c r="R26" s="96"/>
      <c r="S26" s="81"/>
      <c r="T26" s="93" t="s">
        <v>32</v>
      </c>
      <c r="U26" s="94"/>
      <c r="V26" s="94"/>
      <c r="W26" s="94"/>
      <c r="X26" s="179">
        <f>Q41</f>
        <v>-600</v>
      </c>
    </row>
    <row r="27" spans="1:27" x14ac:dyDescent="0.25">
      <c r="A27" s="104" t="s">
        <v>33</v>
      </c>
      <c r="B27" s="105"/>
      <c r="C27" s="106">
        <v>50</v>
      </c>
      <c r="D27" s="107"/>
      <c r="F27" s="99" t="s">
        <v>34</v>
      </c>
      <c r="G27" s="100"/>
      <c r="H27" s="100"/>
      <c r="I27" s="100"/>
      <c r="J27" s="32">
        <f>C25</f>
        <v>0</v>
      </c>
      <c r="K27" s="92"/>
      <c r="L27" s="81"/>
      <c r="M27" s="101"/>
      <c r="N27" s="102"/>
      <c r="O27" s="102"/>
      <c r="P27" s="102"/>
      <c r="Q27" s="95"/>
      <c r="R27" s="96"/>
      <c r="S27" s="97"/>
      <c r="T27" s="101"/>
      <c r="U27" s="102"/>
      <c r="V27" s="102"/>
      <c r="W27" s="102"/>
      <c r="X27" s="179"/>
    </row>
    <row r="28" spans="1:27" ht="15.75" thickBot="1" x14ac:dyDescent="0.3">
      <c r="A28" s="108" t="s">
        <v>35</v>
      </c>
      <c r="B28" s="109"/>
      <c r="C28" s="110">
        <v>100</v>
      </c>
      <c r="D28" s="111"/>
      <c r="F28" s="90" t="str">
        <f>" "</f>
        <v xml:space="preserve"> </v>
      </c>
      <c r="G28" s="91"/>
      <c r="H28" s="91"/>
      <c r="I28" s="91"/>
      <c r="J28" s="32"/>
      <c r="K28" s="92"/>
      <c r="L28" s="81"/>
      <c r="M28" s="112"/>
      <c r="N28" s="94"/>
      <c r="O28" s="94"/>
      <c r="P28" s="94"/>
      <c r="Q28" s="95"/>
      <c r="R28" s="96"/>
      <c r="S28" s="81"/>
      <c r="T28" s="112" t="s">
        <v>36</v>
      </c>
      <c r="U28" s="94"/>
      <c r="V28" s="94"/>
      <c r="W28" s="94"/>
      <c r="X28" s="180">
        <f>Q31</f>
        <v>1172.5</v>
      </c>
    </row>
    <row r="29" spans="1:27" x14ac:dyDescent="0.25">
      <c r="C29" s="103"/>
      <c r="D29" s="103"/>
      <c r="F29" s="99" t="s">
        <v>37</v>
      </c>
      <c r="G29" s="100"/>
      <c r="H29" s="100"/>
      <c r="I29" s="100"/>
      <c r="J29" s="115">
        <f>J23-J25-J26-J27</f>
        <v>312.5</v>
      </c>
      <c r="K29" s="116"/>
      <c r="L29" s="98"/>
      <c r="M29" s="101"/>
      <c r="N29" s="102"/>
      <c r="O29" s="102"/>
      <c r="P29" s="102"/>
      <c r="Q29" s="117"/>
      <c r="R29" s="118"/>
      <c r="S29" s="97"/>
      <c r="T29" s="101"/>
      <c r="U29" s="102"/>
      <c r="V29" s="102"/>
      <c r="W29" s="102"/>
      <c r="X29" s="179"/>
    </row>
    <row r="30" spans="1:27" ht="15.75" thickBot="1" x14ac:dyDescent="0.3">
      <c r="A30" s="56" t="s">
        <v>19</v>
      </c>
      <c r="B30" s="57"/>
      <c r="C30" s="57"/>
      <c r="D30" s="57"/>
      <c r="E30" s="57"/>
      <c r="F30" s="90" t="str">
        <f>" "</f>
        <v xml:space="preserve"> </v>
      </c>
      <c r="G30" s="91"/>
      <c r="H30" s="91"/>
      <c r="I30" s="91"/>
      <c r="J30" s="32"/>
      <c r="K30" s="92"/>
      <c r="L30" s="81"/>
      <c r="M30" s="112"/>
      <c r="N30" s="94"/>
      <c r="O30" s="94"/>
      <c r="P30" s="94"/>
      <c r="Q30" s="95"/>
      <c r="R30" s="96"/>
      <c r="S30" s="81"/>
      <c r="T30" s="112"/>
      <c r="U30" s="94"/>
      <c r="V30" s="94"/>
      <c r="W30" s="94"/>
      <c r="X30" s="179"/>
    </row>
    <row r="31" spans="1:27" ht="15.75" thickBot="1" x14ac:dyDescent="0.3">
      <c r="A31" s="65" t="s">
        <v>38</v>
      </c>
      <c r="B31" s="119"/>
      <c r="C31" s="120"/>
      <c r="D31" s="120"/>
      <c r="E31" s="103"/>
      <c r="F31" s="99" t="s">
        <v>39</v>
      </c>
      <c r="G31" s="100"/>
      <c r="H31" s="100"/>
      <c r="I31" s="100"/>
      <c r="J31" s="121">
        <f>MAX(J29*-1,0)</f>
        <v>0</v>
      </c>
      <c r="K31" s="122"/>
      <c r="L31" s="98"/>
      <c r="M31" s="101" t="s">
        <v>36</v>
      </c>
      <c r="N31" s="102"/>
      <c r="O31" s="102"/>
      <c r="P31" s="102"/>
      <c r="Q31" s="123">
        <f>Q24</f>
        <v>1172.5</v>
      </c>
      <c r="R31" s="124"/>
      <c r="S31" s="97"/>
      <c r="T31" s="101" t="s">
        <v>40</v>
      </c>
      <c r="U31" s="102"/>
      <c r="V31" s="102"/>
      <c r="W31" s="102"/>
      <c r="X31" s="181">
        <f>X24+X26+X28-X30</f>
        <v>2447.5</v>
      </c>
    </row>
    <row r="32" spans="1:27" ht="16.5" thickTop="1" thickBot="1" x14ac:dyDescent="0.3">
      <c r="A32" s="125" t="s">
        <v>41</v>
      </c>
      <c r="B32" s="126"/>
      <c r="C32" s="127">
        <v>65</v>
      </c>
      <c r="D32" s="48"/>
      <c r="F32" s="128" t="str">
        <f>" "</f>
        <v xml:space="preserve"> </v>
      </c>
      <c r="G32" s="129"/>
      <c r="H32" s="129"/>
      <c r="I32" s="129"/>
      <c r="J32" s="39"/>
      <c r="K32" s="130"/>
      <c r="L32" s="81"/>
      <c r="M32" s="131" t="str">
        <f>" "</f>
        <v xml:space="preserve"> </v>
      </c>
      <c r="N32" s="132"/>
      <c r="O32" s="132"/>
      <c r="P32" s="132"/>
      <c r="Q32" s="133"/>
      <c r="R32" s="134"/>
      <c r="S32" s="81"/>
      <c r="T32" s="131" t="str">
        <f>" "</f>
        <v xml:space="preserve"> </v>
      </c>
      <c r="U32" s="132"/>
      <c r="V32" s="132"/>
      <c r="W32" s="132"/>
      <c r="X32" s="182"/>
    </row>
    <row r="33" spans="1:32" x14ac:dyDescent="0.25">
      <c r="A33" s="28" t="s">
        <v>27</v>
      </c>
      <c r="B33" s="135"/>
      <c r="C33" s="32">
        <v>60</v>
      </c>
      <c r="D33" s="136"/>
      <c r="F33" s="137"/>
      <c r="G33" s="138"/>
      <c r="H33" s="138"/>
      <c r="I33" s="138"/>
      <c r="J33" s="98"/>
      <c r="K33" s="81"/>
      <c r="L33" s="81"/>
      <c r="M33" s="81"/>
      <c r="N33" s="81"/>
      <c r="O33" s="81"/>
      <c r="P33" s="81"/>
      <c r="Q33" s="98"/>
      <c r="R33" s="81"/>
      <c r="S33" s="81"/>
      <c r="T33" s="81"/>
      <c r="U33" s="81"/>
    </row>
    <row r="34" spans="1:32" ht="15.75" thickBot="1" x14ac:dyDescent="0.3">
      <c r="A34" s="91" t="s">
        <v>42</v>
      </c>
      <c r="B34" s="126"/>
      <c r="C34" s="127">
        <v>65</v>
      </c>
      <c r="D34" s="48"/>
      <c r="F34" s="139" t="s">
        <v>60</v>
      </c>
      <c r="G34" s="139"/>
      <c r="H34" s="139"/>
      <c r="I34" s="139"/>
      <c r="J34" s="139"/>
      <c r="K34" s="139"/>
      <c r="L34" s="140"/>
      <c r="M34" s="141" t="s">
        <v>43</v>
      </c>
      <c r="N34" s="141"/>
      <c r="O34" s="141"/>
      <c r="P34" s="141"/>
      <c r="Q34" s="57"/>
      <c r="R34" s="57"/>
      <c r="T34" s="141" t="s">
        <v>61</v>
      </c>
      <c r="U34" s="141"/>
      <c r="V34" s="141"/>
      <c r="W34" s="141"/>
      <c r="X34" s="57"/>
      <c r="Y34" s="57"/>
      <c r="AA34" s="29"/>
      <c r="AB34" s="141"/>
      <c r="AC34" s="141"/>
    </row>
    <row r="35" spans="1:32" ht="15.75" thickBot="1" x14ac:dyDescent="0.3">
      <c r="A35" s="91" t="s">
        <v>62</v>
      </c>
      <c r="B35" s="126"/>
      <c r="C35" s="127">
        <v>100</v>
      </c>
      <c r="D35" s="48"/>
      <c r="F35" s="9" t="s">
        <v>44</v>
      </c>
      <c r="G35" s="10"/>
      <c r="H35" s="10"/>
      <c r="I35" s="10"/>
      <c r="J35" s="11"/>
      <c r="K35" s="11"/>
      <c r="L35" s="73"/>
      <c r="M35" s="9" t="s">
        <v>45</v>
      </c>
      <c r="N35" s="10"/>
      <c r="O35" s="10"/>
      <c r="P35" s="10"/>
      <c r="Q35" s="11"/>
      <c r="R35" s="11"/>
      <c r="T35" s="9" t="s">
        <v>71</v>
      </c>
      <c r="U35" s="10"/>
      <c r="V35" s="10"/>
      <c r="W35" s="10"/>
      <c r="X35" s="11"/>
      <c r="Y35" s="11"/>
      <c r="AA35" s="61" t="s">
        <v>46</v>
      </c>
      <c r="AB35" s="62"/>
      <c r="AC35" s="62"/>
      <c r="AD35" s="62"/>
      <c r="AE35" s="61"/>
      <c r="AF35" s="63"/>
    </row>
    <row r="36" spans="1:32" ht="15.75" thickBot="1" x14ac:dyDescent="0.3">
      <c r="A36" s="28" t="s">
        <v>29</v>
      </c>
      <c r="B36" s="29"/>
      <c r="C36" s="32">
        <v>0</v>
      </c>
      <c r="D36" s="136"/>
      <c r="F36" s="128" t="s">
        <v>24</v>
      </c>
      <c r="G36" s="129"/>
      <c r="H36" s="9"/>
      <c r="I36" s="10"/>
      <c r="J36" s="70" t="s">
        <v>25</v>
      </c>
      <c r="K36" s="70"/>
      <c r="L36" s="81"/>
      <c r="M36" s="128" t="s">
        <v>24</v>
      </c>
      <c r="N36" s="129"/>
      <c r="O36" s="9"/>
      <c r="P36" s="10"/>
      <c r="Q36" s="70" t="s">
        <v>25</v>
      </c>
      <c r="R36" s="70"/>
      <c r="T36" s="128" t="s">
        <v>24</v>
      </c>
      <c r="U36" s="129"/>
      <c r="V36" s="9"/>
      <c r="W36" s="10"/>
      <c r="X36" s="70" t="s">
        <v>25</v>
      </c>
      <c r="Y36" s="70"/>
      <c r="AA36" s="61" t="s">
        <v>24</v>
      </c>
      <c r="AB36" s="62"/>
      <c r="AC36" s="62"/>
      <c r="AD36" s="61"/>
      <c r="AE36" s="62" t="s">
        <v>25</v>
      </c>
      <c r="AF36" s="72"/>
    </row>
    <row r="37" spans="1:32" x14ac:dyDescent="0.25">
      <c r="A37" s="142" t="s">
        <v>30</v>
      </c>
      <c r="B37" s="29"/>
      <c r="C37" s="32">
        <v>0</v>
      </c>
      <c r="D37" s="136"/>
      <c r="F37" s="143" t="s">
        <v>26</v>
      </c>
      <c r="G37" s="144"/>
      <c r="H37" s="144"/>
      <c r="I37" s="144"/>
      <c r="J37" s="24">
        <f>J23</f>
        <v>1875</v>
      </c>
      <c r="K37" s="145"/>
      <c r="L37" s="97"/>
      <c r="M37" s="143" t="s">
        <v>26</v>
      </c>
      <c r="N37" s="144"/>
      <c r="O37" s="144"/>
      <c r="P37" s="144"/>
      <c r="Q37" s="24">
        <f>J23</f>
        <v>1875</v>
      </c>
      <c r="R37" s="145"/>
      <c r="T37" s="143" t="s">
        <v>26</v>
      </c>
      <c r="U37" s="144"/>
      <c r="V37" s="144"/>
      <c r="W37" s="144"/>
      <c r="X37" s="24">
        <f>J23</f>
        <v>1875</v>
      </c>
      <c r="Y37" s="145"/>
      <c r="AA37" s="82"/>
      <c r="AB37" s="83"/>
      <c r="AC37" s="83"/>
      <c r="AD37" s="83"/>
      <c r="AE37" s="84"/>
      <c r="AF37" s="85"/>
    </row>
    <row r="38" spans="1:32" x14ac:dyDescent="0.25">
      <c r="A38" s="90" t="s">
        <v>47</v>
      </c>
      <c r="B38" s="126"/>
      <c r="C38" s="127">
        <v>50</v>
      </c>
      <c r="D38" s="48"/>
      <c r="F38" s="90" t="str">
        <f>" "</f>
        <v xml:space="preserve"> </v>
      </c>
      <c r="G38" s="91"/>
      <c r="H38" s="91"/>
      <c r="I38" s="91"/>
      <c r="J38" s="32"/>
      <c r="K38" s="146"/>
      <c r="L38" s="81"/>
      <c r="M38" s="90" t="str">
        <f>" "</f>
        <v xml:space="preserve"> </v>
      </c>
      <c r="N38" s="91"/>
      <c r="O38" s="91"/>
      <c r="P38" s="91"/>
      <c r="Q38" s="32"/>
      <c r="R38" s="146"/>
      <c r="T38" s="90" t="str">
        <f>" "</f>
        <v xml:space="preserve"> </v>
      </c>
      <c r="U38" s="91"/>
      <c r="V38" s="91"/>
      <c r="W38" s="91"/>
      <c r="X38" s="32"/>
      <c r="Y38" s="146"/>
      <c r="AA38" s="93" t="s">
        <v>40</v>
      </c>
      <c r="AB38" s="94"/>
      <c r="AC38" s="94"/>
      <c r="AD38" s="94"/>
      <c r="AE38" s="95">
        <f>X31</f>
        <v>2447.5</v>
      </c>
      <c r="AF38" s="96"/>
    </row>
    <row r="39" spans="1:32" ht="15.75" thickBot="1" x14ac:dyDescent="0.3">
      <c r="A39" s="128" t="s">
        <v>48</v>
      </c>
      <c r="B39" s="147"/>
      <c r="C39" s="148">
        <v>100</v>
      </c>
      <c r="D39" s="149"/>
      <c r="F39" s="99" t="s">
        <v>39</v>
      </c>
      <c r="G39" s="100"/>
      <c r="H39" s="100"/>
      <c r="I39" s="100"/>
      <c r="J39" s="32">
        <f>J31</f>
        <v>0</v>
      </c>
      <c r="K39" s="146"/>
      <c r="L39" s="97"/>
      <c r="M39" s="99" t="s">
        <v>39</v>
      </c>
      <c r="N39" s="100"/>
      <c r="O39" s="100"/>
      <c r="P39" s="100"/>
      <c r="Q39" s="32">
        <f>J31</f>
        <v>0</v>
      </c>
      <c r="R39" s="146"/>
      <c r="T39" s="99" t="s">
        <v>39</v>
      </c>
      <c r="U39" s="100"/>
      <c r="V39" s="100"/>
      <c r="W39" s="100"/>
      <c r="X39" s="32">
        <f>J31</f>
        <v>0</v>
      </c>
      <c r="Y39" s="146"/>
      <c r="AA39" s="101"/>
      <c r="AB39" s="102"/>
      <c r="AC39" s="102"/>
      <c r="AD39" s="102"/>
      <c r="AE39" s="95"/>
      <c r="AF39" s="96"/>
    </row>
    <row r="40" spans="1:32" x14ac:dyDescent="0.25">
      <c r="F40" s="90" t="str">
        <f>" "</f>
        <v xml:space="preserve"> </v>
      </c>
      <c r="G40" s="91"/>
      <c r="H40" s="91"/>
      <c r="I40" s="91"/>
      <c r="J40" s="32"/>
      <c r="K40" s="146"/>
      <c r="L40" s="71"/>
      <c r="M40" s="90" t="str">
        <f>" "</f>
        <v xml:space="preserve"> </v>
      </c>
      <c r="N40" s="91"/>
      <c r="O40" s="91"/>
      <c r="P40" s="91"/>
      <c r="Q40" s="32"/>
      <c r="R40" s="146"/>
      <c r="T40" s="90" t="str">
        <f>" "</f>
        <v xml:space="preserve"> </v>
      </c>
      <c r="U40" s="91"/>
      <c r="V40" s="91"/>
      <c r="W40" s="91"/>
      <c r="X40" s="32"/>
      <c r="Y40" s="146"/>
      <c r="AA40" s="93" t="str">
        <f>"RT Incremental Cost @ "&amp;C32&amp;" MW"</f>
        <v>RT Incremental Cost @ 65 MW</v>
      </c>
      <c r="AB40" s="94"/>
      <c r="AC40" s="94"/>
      <c r="AD40" s="94"/>
      <c r="AE40" s="95">
        <f>Q44</f>
        <v>1322.5</v>
      </c>
      <c r="AF40" s="96"/>
    </row>
    <row r="41" spans="1:32" ht="30" x14ac:dyDescent="0.25">
      <c r="F41" s="99" t="s">
        <v>49</v>
      </c>
      <c r="G41" s="100"/>
      <c r="H41" s="100"/>
      <c r="I41" s="100"/>
      <c r="J41" s="32">
        <f>(C34-C23)*C33</f>
        <v>-600</v>
      </c>
      <c r="K41" s="146"/>
      <c r="L41" s="97"/>
      <c r="M41" s="99" t="s">
        <v>50</v>
      </c>
      <c r="N41" s="100"/>
      <c r="O41" s="100"/>
      <c r="P41" s="100"/>
      <c r="Q41" s="32">
        <f>(C32-C23)*C33</f>
        <v>-600</v>
      </c>
      <c r="R41" s="146"/>
      <c r="T41" s="99" t="s">
        <v>73</v>
      </c>
      <c r="U41" s="100"/>
      <c r="V41" s="100"/>
      <c r="W41" s="100"/>
      <c r="X41" s="32">
        <f>(C34-C23)*C33</f>
        <v>-600</v>
      </c>
      <c r="Y41" s="146"/>
      <c r="AA41" s="101" t="s">
        <v>51</v>
      </c>
      <c r="AB41" s="102"/>
      <c r="AC41" s="102"/>
      <c r="AD41" s="102"/>
      <c r="AE41" s="95">
        <f>Q45</f>
        <v>0</v>
      </c>
      <c r="AF41" s="96"/>
    </row>
    <row r="42" spans="1:32" x14ac:dyDescent="0.25">
      <c r="A42" s="150"/>
      <c r="B42" s="151"/>
      <c r="C42" s="57"/>
      <c r="D42" s="57"/>
      <c r="F42" s="90" t="str">
        <f>"Company Responsible Losses @ "&amp;IF(AND(C39&lt;C28,C23&gt;0),MAX(C23-MAX(C39,C35),0),0)&amp;" MW"</f>
        <v>Company Responsible Losses @ 0 MW</v>
      </c>
      <c r="G42" s="91"/>
      <c r="H42" s="91"/>
      <c r="I42" s="91"/>
      <c r="J42" s="32">
        <f>IF(AND(C39&lt;C28,C23&gt;0),MAX(C23-MAX(C35,C39),0)*MIN(C24-C33,0),0)</f>
        <v>0</v>
      </c>
      <c r="K42" s="146"/>
      <c r="L42" s="152"/>
      <c r="M42" s="90" t="str">
        <f>" "</f>
        <v xml:space="preserve"> </v>
      </c>
      <c r="N42" s="91"/>
      <c r="O42" s="91"/>
      <c r="P42" s="91"/>
      <c r="Q42" s="32"/>
      <c r="R42" s="146"/>
      <c r="T42" s="174" t="str">
        <f>"Company Responsible Losses @ "&amp;IF(AND(C39&lt;C28,C23&gt;0),MAX(C23-MAX(C39,C35),0),0)&amp;" MW"</f>
        <v>Company Responsible Losses @ 0 MW</v>
      </c>
      <c r="U42" s="155"/>
      <c r="V42" s="155"/>
      <c r="W42" s="155"/>
      <c r="X42" s="32">
        <f>IF(AND(C39&lt;C28,C23&gt;0),MAX(C23-MAX(C35,C39),0)*MIN(C24-C33,0),0)</f>
        <v>0</v>
      </c>
      <c r="Y42" s="146"/>
      <c r="AA42" s="93" t="s">
        <v>52</v>
      </c>
      <c r="AB42" s="94"/>
      <c r="AC42" s="94"/>
      <c r="AD42" s="94"/>
      <c r="AE42" s="113">
        <f>Q46</f>
        <v>0</v>
      </c>
      <c r="AF42" s="114"/>
    </row>
    <row r="43" spans="1:32" x14ac:dyDescent="0.25">
      <c r="A43" s="150"/>
      <c r="B43" s="151"/>
      <c r="C43" s="57"/>
      <c r="D43" s="57"/>
      <c r="F43" s="153" t="s">
        <v>36</v>
      </c>
      <c r="G43" s="154"/>
      <c r="H43" s="154"/>
      <c r="I43" s="154"/>
      <c r="J43" s="175">
        <f>Q24</f>
        <v>1172.5</v>
      </c>
      <c r="K43" s="176"/>
      <c r="L43" s="152"/>
      <c r="M43" s="153" t="s">
        <v>36</v>
      </c>
      <c r="N43" s="154"/>
      <c r="O43" s="154"/>
      <c r="P43" s="154"/>
      <c r="Q43" s="175">
        <f>Q24</f>
        <v>1172.5</v>
      </c>
      <c r="R43" s="176"/>
      <c r="T43" s="174"/>
      <c r="U43" s="155"/>
      <c r="V43" s="155"/>
      <c r="W43" s="155"/>
      <c r="X43" s="32"/>
      <c r="Y43" s="146"/>
      <c r="AA43" s="93"/>
      <c r="AB43" s="94"/>
      <c r="AC43" s="94"/>
      <c r="AD43" s="94"/>
      <c r="AE43" s="113"/>
      <c r="AF43" s="114"/>
    </row>
    <row r="44" spans="1:32" x14ac:dyDescent="0.25">
      <c r="A44" s="156"/>
      <c r="B44" s="151"/>
      <c r="C44" s="57"/>
      <c r="D44" s="57"/>
      <c r="F44" s="99" t="str">
        <f>"RT Incremental Cost @ "&amp;C34&amp;" MW"</f>
        <v>RT Incremental Cost @ 65 MW</v>
      </c>
      <c r="G44" s="100"/>
      <c r="H44" s="100"/>
      <c r="I44" s="100"/>
      <c r="J44" s="32">
        <f>T19</f>
        <v>1322.5</v>
      </c>
      <c r="K44" s="146"/>
      <c r="L44" s="97"/>
      <c r="M44" s="99" t="str">
        <f>"RT Incremental Cost @ "&amp;C32&amp;" MW"</f>
        <v>RT Incremental Cost @ 65 MW</v>
      </c>
      <c r="N44" s="100"/>
      <c r="O44" s="100"/>
      <c r="P44" s="100"/>
      <c r="Q44" s="32">
        <f>M19</f>
        <v>1322.5</v>
      </c>
      <c r="R44" s="146"/>
      <c r="T44" s="99" t="str">
        <f>"RT Incremental Cost @ "&amp;C34&amp;" MW"</f>
        <v>RT Incremental Cost @ 65 MW</v>
      </c>
      <c r="U44" s="100"/>
      <c r="V44" s="100"/>
      <c r="W44" s="100"/>
      <c r="X44" s="32">
        <f>T19</f>
        <v>1322.5</v>
      </c>
      <c r="Y44" s="146"/>
      <c r="AA44" s="101"/>
      <c r="AB44" s="102"/>
      <c r="AC44" s="102"/>
      <c r="AD44" s="102"/>
      <c r="AE44" s="95"/>
      <c r="AF44" s="96"/>
    </row>
    <row r="45" spans="1:32" x14ac:dyDescent="0.25">
      <c r="A45" s="157"/>
      <c r="C45" s="173"/>
      <c r="D45" s="57"/>
      <c r="F45" s="99" t="s">
        <v>51</v>
      </c>
      <c r="G45" s="100"/>
      <c r="H45" s="100"/>
      <c r="I45" s="100"/>
      <c r="J45" s="32">
        <f>C37</f>
        <v>0</v>
      </c>
      <c r="K45" s="146"/>
      <c r="L45" s="81"/>
      <c r="M45" s="99" t="s">
        <v>51</v>
      </c>
      <c r="N45" s="100"/>
      <c r="O45" s="100"/>
      <c r="P45" s="100"/>
      <c r="Q45" s="32">
        <f>C37</f>
        <v>0</v>
      </c>
      <c r="R45" s="146"/>
      <c r="T45" s="99" t="s">
        <v>51</v>
      </c>
      <c r="U45" s="100"/>
      <c r="V45" s="100"/>
      <c r="W45" s="100"/>
      <c r="X45" s="32">
        <f>C37</f>
        <v>0</v>
      </c>
      <c r="Y45" s="146"/>
      <c r="AA45" s="93" t="s">
        <v>53</v>
      </c>
      <c r="AB45" s="94"/>
      <c r="AC45" s="94"/>
      <c r="AD45" s="94"/>
      <c r="AE45" s="95">
        <f>AE38-AE40-AE41-AE42</f>
        <v>1125</v>
      </c>
      <c r="AF45" s="96"/>
    </row>
    <row r="46" spans="1:32" x14ac:dyDescent="0.25">
      <c r="A46" s="157"/>
      <c r="B46" s="158"/>
      <c r="C46" s="57"/>
      <c r="D46" s="57"/>
      <c r="E46" s="159"/>
      <c r="F46" s="99" t="s">
        <v>52</v>
      </c>
      <c r="G46" s="100"/>
      <c r="H46" s="100"/>
      <c r="I46" s="100"/>
      <c r="J46" s="32">
        <f>C36</f>
        <v>0</v>
      </c>
      <c r="K46" s="146"/>
      <c r="L46" s="81"/>
      <c r="M46" s="99" t="s">
        <v>52</v>
      </c>
      <c r="N46" s="100"/>
      <c r="O46" s="100"/>
      <c r="P46" s="100"/>
      <c r="Q46" s="32">
        <f>C36</f>
        <v>0</v>
      </c>
      <c r="R46" s="146"/>
      <c r="T46" s="99" t="s">
        <v>52</v>
      </c>
      <c r="U46" s="100"/>
      <c r="V46" s="100"/>
      <c r="W46" s="100"/>
      <c r="X46" s="32">
        <f>C36</f>
        <v>0</v>
      </c>
      <c r="Y46" s="146"/>
      <c r="AA46" s="101"/>
      <c r="AB46" s="102"/>
      <c r="AC46" s="102"/>
      <c r="AD46" s="102"/>
      <c r="AE46" s="95"/>
      <c r="AF46" s="96"/>
    </row>
    <row r="47" spans="1:32" ht="15.75" thickBot="1" x14ac:dyDescent="0.3">
      <c r="A47" s="157"/>
      <c r="B47" s="158"/>
      <c r="C47" s="57"/>
      <c r="D47" s="57"/>
      <c r="F47" s="90" t="str">
        <f>" "</f>
        <v xml:space="preserve"> </v>
      </c>
      <c r="G47" s="91"/>
      <c r="H47" s="91"/>
      <c r="I47" s="91"/>
      <c r="J47" s="32"/>
      <c r="K47" s="146"/>
      <c r="M47" s="90" t="str">
        <f>" "</f>
        <v xml:space="preserve"> </v>
      </c>
      <c r="N47" s="91"/>
      <c r="O47" s="91"/>
      <c r="P47" s="91"/>
      <c r="Q47" s="32"/>
      <c r="R47" s="146"/>
      <c r="T47" s="90" t="str">
        <f>" "</f>
        <v xml:space="preserve"> </v>
      </c>
      <c r="U47" s="91"/>
      <c r="V47" s="91"/>
      <c r="W47" s="91"/>
      <c r="X47" s="32"/>
      <c r="Y47" s="146"/>
      <c r="AA47" s="131" t="str">
        <f>" "</f>
        <v xml:space="preserve"> </v>
      </c>
      <c r="AB47" s="132"/>
      <c r="AC47" s="132"/>
      <c r="AD47" s="132"/>
      <c r="AE47" s="133"/>
      <c r="AF47" s="134"/>
    </row>
    <row r="48" spans="1:32" x14ac:dyDescent="0.25">
      <c r="A48" s="157"/>
      <c r="B48" s="158"/>
      <c r="C48" s="57"/>
      <c r="D48" s="57"/>
      <c r="F48" s="99" t="s">
        <v>54</v>
      </c>
      <c r="G48" s="100"/>
      <c r="H48" s="100"/>
      <c r="I48" s="100"/>
      <c r="J48" s="115">
        <f>J37+J41+Q31-J44-J45-J46</f>
        <v>1125</v>
      </c>
      <c r="K48" s="160"/>
      <c r="M48" s="161" t="s">
        <v>54</v>
      </c>
      <c r="N48" s="162"/>
      <c r="O48" s="162"/>
      <c r="P48" s="162"/>
      <c r="Q48" s="115">
        <f>Q37+Q41+Q43-Q44-Q45-Q46</f>
        <v>1125</v>
      </c>
      <c r="R48" s="160"/>
      <c r="T48" s="161" t="s">
        <v>54</v>
      </c>
      <c r="U48" s="162"/>
      <c r="V48" s="162"/>
      <c r="W48" s="162"/>
      <c r="X48" s="115">
        <f>X37+X41-X44-X45-X46</f>
        <v>-47.5</v>
      </c>
      <c r="Y48" s="160"/>
      <c r="AA48" s="162"/>
      <c r="AB48" s="162"/>
    </row>
    <row r="49" spans="1:31" x14ac:dyDescent="0.25">
      <c r="A49" s="157"/>
      <c r="C49" s="57"/>
      <c r="D49" s="57"/>
      <c r="F49" s="90" t="str">
        <f>" "</f>
        <v xml:space="preserve"> </v>
      </c>
      <c r="G49" s="91"/>
      <c r="H49" s="91"/>
      <c r="I49" s="91"/>
      <c r="J49" s="32"/>
      <c r="K49" s="146"/>
      <c r="M49" s="90" t="str">
        <f>" "</f>
        <v xml:space="preserve"> </v>
      </c>
      <c r="N49" s="91"/>
      <c r="O49" s="91"/>
      <c r="P49" s="91"/>
      <c r="Q49" s="32"/>
      <c r="R49" s="146"/>
      <c r="T49" s="90" t="str">
        <f>" "</f>
        <v xml:space="preserve"> </v>
      </c>
      <c r="U49" s="91"/>
      <c r="V49" s="91"/>
      <c r="W49" s="91"/>
      <c r="X49" s="32"/>
      <c r="Y49" s="146"/>
      <c r="AA49" s="91"/>
      <c r="AB49" s="91"/>
    </row>
    <row r="50" spans="1:31" ht="15.75" thickBot="1" x14ac:dyDescent="0.3">
      <c r="F50" s="99" t="s">
        <v>55</v>
      </c>
      <c r="G50" s="100"/>
      <c r="H50" s="100"/>
      <c r="I50" s="100"/>
      <c r="J50" s="121">
        <f>MAX(MAX(J48*-1,0)-J39,0)</f>
        <v>0</v>
      </c>
      <c r="K50" s="163"/>
      <c r="M50" s="161" t="s">
        <v>55</v>
      </c>
      <c r="N50" s="162"/>
      <c r="O50" s="162"/>
      <c r="P50" s="162"/>
      <c r="Q50" s="121">
        <f>MAX(MAX(Q48*-1,0)-Q39,0)</f>
        <v>0</v>
      </c>
      <c r="R50" s="163"/>
      <c r="T50" s="161" t="s">
        <v>55</v>
      </c>
      <c r="U50" s="162"/>
      <c r="V50" s="162"/>
      <c r="W50" s="162"/>
      <c r="X50" s="121">
        <f>MAX(MAX(X48*-1,0)-X39,0)</f>
        <v>47.5</v>
      </c>
      <c r="Y50" s="163"/>
      <c r="AA50" s="162"/>
      <c r="AB50" s="162"/>
      <c r="AD50" s="158"/>
    </row>
    <row r="51" spans="1:31" ht="16.5" thickTop="1" thickBot="1" x14ac:dyDescent="0.3">
      <c r="F51" s="128" t="str">
        <f>" "</f>
        <v xml:space="preserve"> </v>
      </c>
      <c r="G51" s="129"/>
      <c r="H51" s="129"/>
      <c r="I51" s="129"/>
      <c r="J51" s="39"/>
      <c r="K51" s="164"/>
      <c r="L51" s="29"/>
      <c r="M51" s="128" t="str">
        <f>" "</f>
        <v xml:space="preserve"> </v>
      </c>
      <c r="N51" s="129"/>
      <c r="O51" s="129"/>
      <c r="P51" s="129"/>
      <c r="Q51" s="39"/>
      <c r="R51" s="165"/>
      <c r="S51" s="29"/>
      <c r="T51" s="128" t="str">
        <f>" "</f>
        <v xml:space="preserve"> </v>
      </c>
      <c r="U51" s="129"/>
      <c r="V51" s="129"/>
      <c r="W51" s="129"/>
      <c r="X51" s="39"/>
      <c r="Y51" s="165"/>
      <c r="AA51" s="91"/>
      <c r="AB51" s="91"/>
      <c r="AE51" s="158"/>
    </row>
    <row r="52" spans="1:31" x14ac:dyDescent="0.25">
      <c r="E52" s="166"/>
      <c r="F52" s="166"/>
      <c r="G52" s="166"/>
      <c r="H52" s="166"/>
      <c r="I52" s="166"/>
      <c r="K52" s="167"/>
      <c r="L52" s="167"/>
      <c r="M52" s="167"/>
      <c r="N52" s="167"/>
      <c r="O52" s="167"/>
      <c r="Q52" s="167"/>
      <c r="R52" s="167"/>
      <c r="S52" s="167"/>
      <c r="T52" s="167"/>
      <c r="U52" s="167"/>
    </row>
    <row r="53" spans="1:31" ht="18.75" x14ac:dyDescent="0.3">
      <c r="E53" s="58"/>
      <c r="F53" s="58"/>
      <c r="G53" s="58"/>
      <c r="H53" s="58"/>
      <c r="I53" s="58"/>
      <c r="K53" s="58"/>
      <c r="L53" s="58"/>
      <c r="M53" s="58"/>
      <c r="N53" s="58"/>
      <c r="O53" s="58"/>
      <c r="Q53" s="58"/>
      <c r="R53" s="58"/>
      <c r="S53" s="58"/>
      <c r="T53" s="183"/>
      <c r="U53" s="184"/>
      <c r="V53" s="185"/>
      <c r="W53" s="185"/>
      <c r="X53" s="185"/>
      <c r="Y53" s="185"/>
    </row>
    <row r="54" spans="1:31" x14ac:dyDescent="0.25">
      <c r="L54" s="168"/>
      <c r="U54" s="158"/>
    </row>
    <row r="55" spans="1:31" x14ac:dyDescent="0.25">
      <c r="H55" s="57"/>
      <c r="I55" s="169" t="s">
        <v>56</v>
      </c>
      <c r="J55" s="170"/>
      <c r="K55" s="57"/>
      <c r="L55" s="57"/>
    </row>
    <row r="56" spans="1:31" x14ac:dyDescent="0.25">
      <c r="H56" s="157" t="s">
        <v>57</v>
      </c>
      <c r="I56" s="57" t="s">
        <v>58</v>
      </c>
      <c r="J56" s="57"/>
      <c r="K56" s="57"/>
      <c r="L56" s="57"/>
      <c r="M56" s="103">
        <f>MIN(J50,Q50)</f>
        <v>0</v>
      </c>
      <c r="O56" s="171"/>
    </row>
    <row r="57" spans="1:31" ht="30" x14ac:dyDescent="0.25">
      <c r="I57" s="172" t="s">
        <v>59</v>
      </c>
      <c r="J57" s="172"/>
      <c r="K57" s="172"/>
      <c r="L57" s="172"/>
      <c r="M57" s="172"/>
      <c r="N57" s="172"/>
      <c r="O57" s="172"/>
      <c r="P57" s="172"/>
      <c r="Q57" s="57"/>
      <c r="R57" s="57"/>
    </row>
    <row r="89" spans="1:24" ht="18.75" x14ac:dyDescent="0.3">
      <c r="A89" s="186" t="s">
        <v>69</v>
      </c>
      <c r="B89" s="186"/>
      <c r="C89" s="186"/>
      <c r="D89" s="186"/>
      <c r="E89" s="186"/>
      <c r="F89" s="186"/>
      <c r="G89" s="186"/>
      <c r="H89" s="186"/>
      <c r="I89" s="186"/>
      <c r="J89" s="186"/>
      <c r="K89" s="186"/>
      <c r="L89" s="186"/>
      <c r="M89" s="186"/>
      <c r="N89" s="186"/>
      <c r="O89" s="186"/>
      <c r="P89" s="186"/>
      <c r="Q89" s="186"/>
      <c r="R89" s="186"/>
      <c r="S89" s="186"/>
      <c r="T89" s="186"/>
      <c r="U89" s="186"/>
      <c r="V89" s="186"/>
      <c r="W89" s="186"/>
      <c r="X89" s="186"/>
    </row>
    <row r="90" spans="1:24" ht="21.75" thickBot="1" x14ac:dyDescent="0.4">
      <c r="A90" s="1" t="s">
        <v>66</v>
      </c>
      <c r="B90" s="1"/>
      <c r="C90" s="1"/>
      <c r="D90" s="1"/>
      <c r="E90" s="1"/>
      <c r="F90" s="1"/>
      <c r="G90" s="1"/>
      <c r="H90" s="1"/>
      <c r="I90" s="1"/>
      <c r="J90" s="1"/>
      <c r="K90" s="1"/>
      <c r="L90" s="1"/>
      <c r="M90" s="1"/>
      <c r="N90" s="1"/>
      <c r="O90" s="1"/>
      <c r="P90" s="1"/>
      <c r="Q90" s="2"/>
      <c r="R90" s="2"/>
      <c r="S90" s="2"/>
      <c r="T90" s="2"/>
    </row>
    <row r="91" spans="1:24" ht="15.75" thickBot="1" x14ac:dyDescent="0.3">
      <c r="A91" s="3" t="s">
        <v>0</v>
      </c>
      <c r="B91" s="4"/>
      <c r="C91" s="4"/>
      <c r="D91" s="5"/>
      <c r="E91" s="6" t="s">
        <v>1</v>
      </c>
      <c r="F91" s="7"/>
      <c r="G91" s="8"/>
      <c r="H91" s="9" t="s">
        <v>2</v>
      </c>
      <c r="I91" s="10"/>
      <c r="J91" s="11"/>
      <c r="K91" s="9" t="s">
        <v>3</v>
      </c>
      <c r="L91" s="10"/>
      <c r="M91" s="11"/>
      <c r="N91" s="9" t="s">
        <v>4</v>
      </c>
      <c r="O91" s="10"/>
      <c r="P91" s="11"/>
      <c r="Q91" s="9" t="s">
        <v>63</v>
      </c>
      <c r="R91" s="10"/>
      <c r="S91" s="10"/>
      <c r="T91" s="11"/>
    </row>
    <row r="92" spans="1:24" ht="30.75" thickBot="1" x14ac:dyDescent="0.3">
      <c r="A92" s="12" t="s">
        <v>5</v>
      </c>
      <c r="B92" s="13" t="s">
        <v>6</v>
      </c>
      <c r="C92" s="13" t="s">
        <v>7</v>
      </c>
      <c r="D92" s="14" t="s">
        <v>8</v>
      </c>
      <c r="E92" s="15" t="s">
        <v>9</v>
      </c>
      <c r="F92" s="16" t="s">
        <v>10</v>
      </c>
      <c r="G92" s="17" t="s">
        <v>11</v>
      </c>
      <c r="H92" s="15" t="s">
        <v>9</v>
      </c>
      <c r="I92" s="16" t="s">
        <v>12</v>
      </c>
      <c r="J92" s="17" t="s">
        <v>13</v>
      </c>
      <c r="K92" s="15" t="s">
        <v>9</v>
      </c>
      <c r="L92" s="16" t="s">
        <v>12</v>
      </c>
      <c r="M92" s="17" t="s">
        <v>13</v>
      </c>
      <c r="N92" s="15" t="s">
        <v>9</v>
      </c>
      <c r="O92" s="16" t="s">
        <v>12</v>
      </c>
      <c r="P92" s="17" t="s">
        <v>13</v>
      </c>
      <c r="Q92" s="18" t="s">
        <v>14</v>
      </c>
      <c r="R92" s="13" t="s">
        <v>15</v>
      </c>
      <c r="S92" s="13" t="s">
        <v>12</v>
      </c>
      <c r="T92" s="19" t="s">
        <v>13</v>
      </c>
    </row>
    <row r="93" spans="1:24" x14ac:dyDescent="0.25">
      <c r="A93" s="20">
        <v>1</v>
      </c>
      <c r="B93" s="21">
        <v>0</v>
      </c>
      <c r="C93" s="21">
        <v>50</v>
      </c>
      <c r="D93" s="22">
        <v>20</v>
      </c>
      <c r="E93" s="23">
        <f>IF(AND(C107&gt;B93,C107&lt;=C93),C107,0)</f>
        <v>0</v>
      </c>
      <c r="F93" s="24">
        <f>IF(C107&gt;0,D93,0)</f>
        <v>20</v>
      </c>
      <c r="G93" s="22">
        <f>IF(E93&gt;0,IF(E93=B93,D93,IF(AND(E93&gt;B93,E93&lt;=C93),D93+(E93-B93)*((D93-D93)/(C93-B93)),0)),0)</f>
        <v>0</v>
      </c>
      <c r="H93" s="25">
        <f>IF(AND(C116&gt;B93,C116&lt;=C93),C116,0)</f>
        <v>50</v>
      </c>
      <c r="I93" s="24">
        <f>IF(C116&gt;0,D93,0)</f>
        <v>20</v>
      </c>
      <c r="J93" s="22">
        <f>IF(H93&gt;0,IF(H93=B93,D93,IF(AND(H93&gt;B93,H93&lt;=C93),D93+(H93-B93)*((D93-D93)/(C93-B93)),0)),0)</f>
        <v>20</v>
      </c>
      <c r="K93" s="26">
        <f>IF(AND(C118&gt;B93,C118&lt;=C93),C118,0)</f>
        <v>0</v>
      </c>
      <c r="L93" s="24">
        <f>IF(C116&gt;0,D93,0)</f>
        <v>20</v>
      </c>
      <c r="M93" s="22">
        <f>IF(K93&gt;0,IF(K93=B93,D93,IF(AND(K93&gt;B93,K93&lt;=C93),D93+(K93-B93)*((D93-D93)/(C93-B93)),0)),0)</f>
        <v>0</v>
      </c>
      <c r="N93" s="26">
        <f>IF(AND(C119&gt;E93,C119&lt;=F93),C119,0)</f>
        <v>0</v>
      </c>
      <c r="O93" s="24">
        <f>IF(C119&gt;0,D93,0)</f>
        <v>20</v>
      </c>
      <c r="P93" s="22">
        <f>IF(N93&gt;0,IF(N93=B93,D93,IF(AND(N93&gt;B93,N93&lt;=C93),D93+(N93-B93)*((D93-D93)/(C93-B93)),0)),0)</f>
        <v>0</v>
      </c>
      <c r="Q93" s="26">
        <f>IF(MIN(C118,C132)=C93,C93,0)</f>
        <v>0</v>
      </c>
      <c r="R93" s="21">
        <f>IF(MAX(C119,C132)=C93,C93,0)</f>
        <v>0</v>
      </c>
      <c r="S93" s="21">
        <f>IF(Q93&gt;0,D93,0)</f>
        <v>0</v>
      </c>
      <c r="T93" s="27">
        <f>IF(R93&gt;0,IF(R93=B93,D93,IF(AND(R93&gt;B93,R93&lt;=C93),D93+(R93-B93)*((D93-D93)/(C93-B93)),0)),0)</f>
        <v>0</v>
      </c>
    </row>
    <row r="94" spans="1:24" x14ac:dyDescent="0.25">
      <c r="A94" s="28">
        <v>2</v>
      </c>
      <c r="B94" s="29">
        <v>50</v>
      </c>
      <c r="C94" s="29">
        <v>75</v>
      </c>
      <c r="D94" s="30">
        <v>25</v>
      </c>
      <c r="E94" s="31">
        <f>IF(AND(C107&gt;B94,C107&lt;=C94),C107,0)</f>
        <v>75</v>
      </c>
      <c r="F94" s="32">
        <v>0</v>
      </c>
      <c r="G94" s="30">
        <f>IF(E94&gt;0,IF(AND(E94&gt;B94,E94&lt;C94),D93+(E94-B94)*((D94-D93)/(C94-B94)),0),0)</f>
        <v>0</v>
      </c>
      <c r="H94" s="33">
        <f>IF(AND(C116&gt;B94,C116&lt;=C94),C116,0)</f>
        <v>0</v>
      </c>
      <c r="I94" s="32">
        <v>0</v>
      </c>
      <c r="J94" s="30">
        <f>IF(H94&gt;0,IF(H94=B94,D94,IF(AND(H94&gt;B94,H94&lt;=C94),D93+(H94-B94)*((D94-D93)/(C94-B94)),0)),0)</f>
        <v>0</v>
      </c>
      <c r="K94" s="33">
        <f>IF(AND(C118&gt;B94,C118&lt;=C94),C118,0)</f>
        <v>65</v>
      </c>
      <c r="L94" s="32">
        <v>0</v>
      </c>
      <c r="M94" s="30">
        <f>IF(K94&gt;0,IF(K94=B94,D94,IF(AND(K94&gt;B94,K94&lt;=C94),D93+(K94-B94)*((D94-D93)/(C94-B94)),0)),0)</f>
        <v>23</v>
      </c>
      <c r="N94" s="33">
        <f>IF(AND(C119&gt;B94,C119&lt;=C94),C119,0)</f>
        <v>0</v>
      </c>
      <c r="O94" s="32">
        <v>0</v>
      </c>
      <c r="P94" s="30">
        <f>IF(N94&gt;0,IF(N94=B94,D94,IF(AND(N94&gt;B94,N94&lt;=C94),D93+(N94-B94)*((D94-D93)/(C94-B94)),0)),0)</f>
        <v>0</v>
      </c>
      <c r="Q94" s="33">
        <f>IF(AND(MIN(C118,C132)&gt;B94,MIN(C118,C132)&lt;=C94),MIN(C118,C132),0)</f>
        <v>65</v>
      </c>
      <c r="R94" s="29">
        <f>IF(AND(MAX(C119,C132)&gt;B94,MAX(C119,C132)&lt;=C94),MAX(C119,C132),0)</f>
        <v>0</v>
      </c>
      <c r="S94" s="29">
        <f>IF(Q94&gt;0,IF(Q94=B94,D94,IF(AND(Q94&gt;B94,Q94&lt;=C94),D93+(Q94-B94)*((D94-D93)/(C94-B94)),0)),0)</f>
        <v>23</v>
      </c>
      <c r="T94" s="34">
        <f>IF(R94&gt;0,IF(R94=B94,D94,IF(AND(R94&gt;B94,R94&lt;=C94),D93+(R94-B94)*((D94-D93)/(C94-B94)),0)),0)</f>
        <v>0</v>
      </c>
    </row>
    <row r="95" spans="1:24" ht="15.75" thickBot="1" x14ac:dyDescent="0.3">
      <c r="A95" s="35">
        <v>3</v>
      </c>
      <c r="B95" s="36">
        <v>75</v>
      </c>
      <c r="C95" s="36">
        <v>100</v>
      </c>
      <c r="D95" s="37">
        <v>30</v>
      </c>
      <c r="E95" s="38">
        <f>IF(AND(C107&gt;B95,C107&lt;=C95),C107,IF(C107&gt;C95,C107,0))</f>
        <v>0</v>
      </c>
      <c r="F95" s="39">
        <v>0</v>
      </c>
      <c r="G95" s="37">
        <f>IF(E95&gt;0,IF(E95=C95,D95,IF(AND(E95&gt;B95,E95&lt;C95),D94+(E95-B95)*((D95-D94)/(C95-B95)),IF(E95&gt;C95,D95,0))),0)</f>
        <v>0</v>
      </c>
      <c r="H95" s="40">
        <f>IF(AND(C116&gt;B95,C116&lt;=C95),C116,IF(C116&gt;C95,C116,0))</f>
        <v>0</v>
      </c>
      <c r="I95" s="39">
        <v>0</v>
      </c>
      <c r="J95" s="37">
        <f>IF(H95&gt;0,IF(H95=B95,D95,IF(AND(H95&gt;B95,H95&lt;=C95),D94+(H95-B95)*((D95-D94)/(C95-B95)),IF(H95&gt;C95,D95,0))),0)</f>
        <v>0</v>
      </c>
      <c r="K95" s="40">
        <f>IF(AND(C118&gt;B95,C118&lt;=C95),C118,IF(C118&gt;C95,C118,0))</f>
        <v>0</v>
      </c>
      <c r="L95" s="39">
        <v>0</v>
      </c>
      <c r="M95" s="37">
        <f>IF(K95&gt;0,IF(K95=B95,D95,IF(AND(K95&gt;B95,K95&lt;=C95),D94+(K95-B95)*((D95-D94)/(C95-B95)),IF(K95&gt;C95,D95,0))),0)</f>
        <v>0</v>
      </c>
      <c r="N95" s="40">
        <f>IF(AND(C119&gt;B95,C119&lt;=C95),C119,IF(C119&gt;C95,C119,0))</f>
        <v>100</v>
      </c>
      <c r="O95" s="39">
        <v>0</v>
      </c>
      <c r="P95" s="37">
        <f>IF(N95&gt;0,IF(N95=B95,D95,IF(AND(N95&gt;B95,N95&lt;=C95),D94+(N95-B95)*((D95-D94)/(C95-B95)),IF(N95&gt;C95,D95,0))),0)</f>
        <v>30</v>
      </c>
      <c r="Q95" s="40">
        <f>IF(AND(MIN(C118,C132)&gt;B95,MIN(C118,C132)&lt;=C95),MIN(C118,C132),0)</f>
        <v>0</v>
      </c>
      <c r="R95" s="36">
        <f>IF(AND(MAX(C119,C132)&gt;B95,MAX(C119,C132)&lt;=C95),MAX(C119,C132),0)</f>
        <v>100</v>
      </c>
      <c r="S95" s="36">
        <f>IF(Q95&gt;0,IF(Q95=B95,D95,IF(AND(Q95&gt;B95,Q95&lt;=C95),D94+(Q95-B95)*((D95-D94)/(C95-B95)),IF(Q95&gt;C95,D95,0))),0)</f>
        <v>0</v>
      </c>
      <c r="T95" s="41">
        <f>IF(R95&gt;0,IF(R95=B95,D95,IF(AND(R95&gt;B95,R95&lt;=C95),D94+(R95-B95)*((D95-D94)/(C95-B95)),IF(R95&gt;C95,D95,0))),0)</f>
        <v>30</v>
      </c>
    </row>
    <row r="96" spans="1:24" ht="15.75" thickBot="1" x14ac:dyDescent="0.3">
      <c r="J96" s="42"/>
    </row>
    <row r="97" spans="1:27" ht="15.75" thickBot="1" x14ac:dyDescent="0.3">
      <c r="A97" s="9" t="s">
        <v>1</v>
      </c>
      <c r="B97" s="9"/>
      <c r="C97" s="10"/>
      <c r="D97" s="10"/>
      <c r="E97" s="10"/>
      <c r="F97" s="11"/>
      <c r="G97" s="43"/>
      <c r="H97" s="6" t="s">
        <v>16</v>
      </c>
      <c r="I97" s="7"/>
      <c r="J97" s="7"/>
      <c r="K97" s="7"/>
      <c r="L97" s="7"/>
      <c r="M97" s="8"/>
      <c r="O97" s="6" t="s">
        <v>17</v>
      </c>
      <c r="P97" s="7"/>
      <c r="Q97" s="7"/>
      <c r="R97" s="7"/>
      <c r="S97" s="7"/>
      <c r="T97" s="8"/>
      <c r="V97" s="6" t="s">
        <v>64</v>
      </c>
      <c r="W97" s="7"/>
      <c r="X97" s="7"/>
      <c r="Y97" s="7"/>
      <c r="Z97" s="7"/>
      <c r="AA97" s="8"/>
    </row>
    <row r="98" spans="1:27" ht="30.75" thickBot="1" x14ac:dyDescent="0.3">
      <c r="A98" s="18" t="s">
        <v>5</v>
      </c>
      <c r="B98" s="13" t="s">
        <v>6</v>
      </c>
      <c r="C98" s="13" t="s">
        <v>7</v>
      </c>
      <c r="D98" s="13" t="s">
        <v>12</v>
      </c>
      <c r="E98" s="13" t="s">
        <v>13</v>
      </c>
      <c r="F98" s="5" t="s">
        <v>18</v>
      </c>
      <c r="G98" s="43"/>
      <c r="H98" s="44" t="s">
        <v>5</v>
      </c>
      <c r="I98" s="16" t="s">
        <v>6</v>
      </c>
      <c r="J98" s="16" t="s">
        <v>7</v>
      </c>
      <c r="K98" s="16" t="s">
        <v>12</v>
      </c>
      <c r="L98" s="16" t="s">
        <v>13</v>
      </c>
      <c r="M98" s="17" t="s">
        <v>18</v>
      </c>
      <c r="O98" s="44" t="s">
        <v>5</v>
      </c>
      <c r="P98" s="16" t="s">
        <v>6</v>
      </c>
      <c r="Q98" s="16" t="s">
        <v>7</v>
      </c>
      <c r="R98" s="16" t="s">
        <v>12</v>
      </c>
      <c r="S98" s="16" t="s">
        <v>13</v>
      </c>
      <c r="T98" s="17" t="s">
        <v>18</v>
      </c>
      <c r="V98" s="44" t="s">
        <v>5</v>
      </c>
      <c r="W98" s="16" t="s">
        <v>6</v>
      </c>
      <c r="X98" s="16" t="s">
        <v>15</v>
      </c>
      <c r="Y98" s="16" t="s">
        <v>12</v>
      </c>
      <c r="Z98" s="16" t="s">
        <v>13</v>
      </c>
      <c r="AA98" s="17" t="s">
        <v>18</v>
      </c>
    </row>
    <row r="99" spans="1:27" x14ac:dyDescent="0.25">
      <c r="A99" s="20">
        <v>1</v>
      </c>
      <c r="B99" s="21">
        <v>0</v>
      </c>
      <c r="C99" s="21">
        <f>IF(AND(C107&gt;B93,C107&lt;C93),C107,IF(C107&gt;=C93,C93,0))</f>
        <v>50</v>
      </c>
      <c r="D99" s="24">
        <f>MIN(D93,F93)</f>
        <v>20</v>
      </c>
      <c r="E99" s="24">
        <f>IF(AND(C107&gt;B93,C107&lt;C93),G93,IF(C107&gt;=C93,D93,0))</f>
        <v>20</v>
      </c>
      <c r="F99" s="22">
        <f>(C99-B99)*(D99+E99)/2</f>
        <v>1000</v>
      </c>
      <c r="G99" s="45"/>
      <c r="H99" s="20">
        <v>1</v>
      </c>
      <c r="I99" s="21">
        <v>0</v>
      </c>
      <c r="J99" s="21">
        <f>IF(AND(C116&gt;B93,C116&lt;C93),C116,IF(C116&gt;=C93,C93,0))</f>
        <v>50</v>
      </c>
      <c r="K99" s="24">
        <f>MIN(D93,I93)</f>
        <v>20</v>
      </c>
      <c r="L99" s="24">
        <f>IF(AND(C116&gt;B93,C116&lt;C93),J93,IF(C116&gt;=C93,D93,0))</f>
        <v>20</v>
      </c>
      <c r="M99" s="22">
        <f>(J99-I99)*(K99+L99)/2</f>
        <v>1000</v>
      </c>
      <c r="O99" s="46">
        <v>1</v>
      </c>
      <c r="P99" s="47">
        <v>0</v>
      </c>
      <c r="Q99" s="47">
        <f>IF(AND(C118&gt;B93,C118&lt;C93),C118,IF(C118&gt;=C93,C93,0))</f>
        <v>50</v>
      </c>
      <c r="R99" s="24">
        <f>MIN(D93,L93)</f>
        <v>20</v>
      </c>
      <c r="S99" s="24">
        <f>IF(AND(C118&gt;B93,C118&lt;C93),M93,IF(C118&gt;=C93,D93,0))</f>
        <v>20</v>
      </c>
      <c r="T99" s="22">
        <f>(Q99-P99)*(R99+S99)/2</f>
        <v>1000</v>
      </c>
      <c r="V99" s="46">
        <v>1</v>
      </c>
      <c r="W99" s="47">
        <v>0</v>
      </c>
      <c r="X99" s="47">
        <f>MIN(Q93,C93)</f>
        <v>0</v>
      </c>
      <c r="Y99" s="24">
        <f>MIN(D93,S93)</f>
        <v>0</v>
      </c>
      <c r="Z99" s="24">
        <f>IF(R93=C93,T93,0)</f>
        <v>0</v>
      </c>
      <c r="AA99" s="22">
        <f>(X99-W99)*(Y99+Z99)/2</f>
        <v>0</v>
      </c>
    </row>
    <row r="100" spans="1:27" x14ac:dyDescent="0.25">
      <c r="A100" s="28">
        <v>2</v>
      </c>
      <c r="B100" s="29">
        <f>IF(C107&gt;B94,C99,0)</f>
        <v>50</v>
      </c>
      <c r="C100" s="29">
        <f>IF(AND(C107&gt;B94,C107&lt;C94),C107,IF(C107&gt;=C94,C94,0))</f>
        <v>75</v>
      </c>
      <c r="D100" s="32">
        <f>IF(B100&lt;&gt;0,E99,0)</f>
        <v>20</v>
      </c>
      <c r="E100" s="32">
        <f>IF(AND(C107&gt;B94,C107&lt;C94),G94,IF(C107&gt;=C94,D94,0))</f>
        <v>25</v>
      </c>
      <c r="F100" s="30">
        <f t="shared" ref="F100:F102" si="5">(C100-B100)*(D100+E100)/2</f>
        <v>562.5</v>
      </c>
      <c r="G100" s="48"/>
      <c r="H100" s="28">
        <v>2</v>
      </c>
      <c r="I100" s="29">
        <f>IF(C116&gt;B94,J99,0)</f>
        <v>0</v>
      </c>
      <c r="J100" s="29">
        <f>IF(AND(C116&gt;B94,C116&lt;C94),C116,IF(C116&gt;=C94,C94,0))</f>
        <v>0</v>
      </c>
      <c r="K100" s="32">
        <f>IF(I100&lt;&gt;0,L99,0)</f>
        <v>0</v>
      </c>
      <c r="L100" s="32">
        <f>IF(AND(C116&gt;B94,C116&lt;C94),J94,IF(C116&gt;=C94,D94,0))</f>
        <v>0</v>
      </c>
      <c r="M100" s="30">
        <f t="shared" ref="M100:M101" si="6">(J100-I100)*(K100+L100)/2</f>
        <v>0</v>
      </c>
      <c r="O100" s="49">
        <v>2</v>
      </c>
      <c r="P100" s="50">
        <f>IF(C118&gt;B94,Q99,0)</f>
        <v>50</v>
      </c>
      <c r="Q100" s="50">
        <f>IF(AND(C118&gt;B94,C118&lt;C94),C118,IF(C118&gt;=C94,C94,0))</f>
        <v>65</v>
      </c>
      <c r="R100" s="32">
        <f>IF(P100&lt;&gt;0,S99,0)</f>
        <v>20</v>
      </c>
      <c r="S100" s="32">
        <f>IF(AND(C118&gt;B94,C118&lt;C94),M94,IF(C118&gt;=C94,D94,0))</f>
        <v>23</v>
      </c>
      <c r="T100" s="30">
        <f t="shared" ref="T100:T102" si="7">(Q100-P100)*(R100+S100)/2</f>
        <v>322.5</v>
      </c>
      <c r="V100" s="49">
        <v>2</v>
      </c>
      <c r="W100" s="50">
        <f>IF(X99&gt;0,B94,MIN(C94,Q94))</f>
        <v>65</v>
      </c>
      <c r="X100" s="50">
        <f>IF(AND(C119&gt;B94,C119&lt;C94,W100&gt;0),C119,IF(C119&gt;=C94,C94,0))</f>
        <v>75</v>
      </c>
      <c r="Y100" s="32">
        <f>IF(W100=Q94,S94,IF(X99&gt;0,D93,0))</f>
        <v>23</v>
      </c>
      <c r="Z100" s="32">
        <f>IF(X100=R94,T94,IF(X100=C94,D94,0))</f>
        <v>25</v>
      </c>
      <c r="AA100" s="30">
        <f t="shared" ref="AA100:AA102" si="8">(X100-W100)*(Y100+Z100)/2</f>
        <v>240</v>
      </c>
    </row>
    <row r="101" spans="1:27" x14ac:dyDescent="0.25">
      <c r="A101" s="28">
        <v>3</v>
      </c>
      <c r="B101" s="29">
        <f>IF(C107&gt;B95,C100,0)</f>
        <v>0</v>
      </c>
      <c r="C101" s="29">
        <f>IF(AND(C107&gt;B95,C107&lt;C95),C107,IF(C107&gt;=C95,C95,0))</f>
        <v>0</v>
      </c>
      <c r="D101" s="32">
        <f t="shared" ref="D101:D102" si="9">IF(B101&lt;&gt;0,E100,0)</f>
        <v>0</v>
      </c>
      <c r="E101" s="32">
        <f>IF(AND(C107&gt;B95,C107&lt;C95),G95,IF(C107&gt;=C95,D95,0))</f>
        <v>0</v>
      </c>
      <c r="F101" s="30">
        <f t="shared" si="5"/>
        <v>0</v>
      </c>
      <c r="G101" s="48"/>
      <c r="H101" s="28">
        <v>3</v>
      </c>
      <c r="I101" s="29">
        <f>IF(C116&gt;B95,J100,0)</f>
        <v>0</v>
      </c>
      <c r="J101" s="29">
        <f>IF(AND(C116&gt;B95,C116&lt;C95),C116,IF(C116&gt;=C95,C95,0))</f>
        <v>0</v>
      </c>
      <c r="K101" s="32">
        <f>IF(I101&lt;&gt;0,L100,0)</f>
        <v>0</v>
      </c>
      <c r="L101" s="32">
        <f>IF(AND(C116&gt;B95,C116&lt;C95),J95,IF(C116&gt;=C95,D95,0))</f>
        <v>0</v>
      </c>
      <c r="M101" s="30">
        <f t="shared" si="6"/>
        <v>0</v>
      </c>
      <c r="O101" s="49">
        <v>3</v>
      </c>
      <c r="P101" s="50">
        <f>IF(C118&gt;B95,Q100,0)</f>
        <v>0</v>
      </c>
      <c r="Q101" s="50">
        <f>IF(AND(C118&gt;B95,C118&lt;C95),C118,IF(C118&gt;=C95,C95,0))</f>
        <v>0</v>
      </c>
      <c r="R101" s="32">
        <f>IF(P101&lt;&gt;0,S100,0)</f>
        <v>0</v>
      </c>
      <c r="S101" s="32">
        <f>IF(AND(C118&gt;B95,C118&lt;C95),M95,IF(C118&gt;=C95,D95,0))</f>
        <v>0</v>
      </c>
      <c r="T101" s="30">
        <f t="shared" si="7"/>
        <v>0</v>
      </c>
      <c r="V101" s="49">
        <v>3</v>
      </c>
      <c r="W101" s="50">
        <f>IF(AND(X100&gt;0,MAX(R93:R95)&gt;C94),B95,MIN(C95,Q95))</f>
        <v>75</v>
      </c>
      <c r="X101" s="50">
        <f>IF(AND(C119&gt;B95,C119&lt;C95,W101&gt;0),C119,IF(C119&gt;=C95,C95,0))</f>
        <v>100</v>
      </c>
      <c r="Y101" s="32">
        <f>IF(W101=Q95,S95,IF(X100&gt;0,D94,0))</f>
        <v>25</v>
      </c>
      <c r="Z101" s="32">
        <f>IF(X101=R95,T95,0)</f>
        <v>30</v>
      </c>
      <c r="AA101" s="30">
        <f t="shared" si="8"/>
        <v>687.5</v>
      </c>
    </row>
    <row r="102" spans="1:27" x14ac:dyDescent="0.25">
      <c r="A102" s="28">
        <v>4</v>
      </c>
      <c r="B102" s="29">
        <f>IF(C107&gt;C95,C101,0)</f>
        <v>0</v>
      </c>
      <c r="C102" s="29">
        <f>IF(C107&gt;C95,C107,0)</f>
        <v>0</v>
      </c>
      <c r="D102" s="32">
        <f t="shared" si="9"/>
        <v>0</v>
      </c>
      <c r="E102" s="32">
        <f>IF(C107&gt;C95,D95,0)</f>
        <v>0</v>
      </c>
      <c r="F102" s="30">
        <f t="shared" si="5"/>
        <v>0</v>
      </c>
      <c r="G102" s="48"/>
      <c r="H102" s="28">
        <v>4</v>
      </c>
      <c r="I102" s="29">
        <f>IF(C116&gt;C95,J101,0)</f>
        <v>0</v>
      </c>
      <c r="J102" s="29">
        <f>IF(C116&gt;C95,C116,0)</f>
        <v>0</v>
      </c>
      <c r="K102" s="32">
        <f>IF(I102&lt;&gt;0,L101,0)</f>
        <v>0</v>
      </c>
      <c r="L102" s="32">
        <f>IF(J102&gt;0,IF(C116&gt;=C95,J95,IF(AND(C116&gt;B95,C116&lt;C95),J95,0)),0)</f>
        <v>0</v>
      </c>
      <c r="M102" s="30">
        <f>(J102-I102)*(K102+L102)/2</f>
        <v>0</v>
      </c>
      <c r="O102" s="49">
        <v>4</v>
      </c>
      <c r="P102" s="50">
        <f>IF(C118&gt;C95,Q101,0)</f>
        <v>0</v>
      </c>
      <c r="Q102" s="50">
        <f>IF(C118&gt;C95,C118,0)</f>
        <v>0</v>
      </c>
      <c r="R102" s="32">
        <f>IF(P102&lt;&gt;0,S101,0)</f>
        <v>0</v>
      </c>
      <c r="S102" s="32">
        <f>IF(Q102&gt;0,IF(C118&gt;=C95,J95,IF(AND(C118&gt;B95,C118&lt;C95),J95,0)),0)</f>
        <v>0</v>
      </c>
      <c r="T102" s="30">
        <f t="shared" si="7"/>
        <v>0</v>
      </c>
      <c r="V102" s="49">
        <v>4</v>
      </c>
      <c r="W102" s="50">
        <f>IF(J119&gt;J95,X101,0)</f>
        <v>0</v>
      </c>
      <c r="X102" s="50">
        <f>IF(J119&gt;J95,J119,IF(AND(J119&gt;J95,J119&lt;J95),J119,0))</f>
        <v>0</v>
      </c>
      <c r="Y102" s="32">
        <f>IF(W102=Q95,S95,IF(X101&gt;0,D95,0))</f>
        <v>0</v>
      </c>
      <c r="Z102" s="32"/>
      <c r="AA102" s="30">
        <f t="shared" si="8"/>
        <v>0</v>
      </c>
    </row>
    <row r="103" spans="1:27" ht="15.75" thickBot="1" x14ac:dyDescent="0.3">
      <c r="A103" s="40"/>
      <c r="B103" s="36"/>
      <c r="C103" s="36"/>
      <c r="D103" s="51"/>
      <c r="E103" s="51"/>
      <c r="F103" s="52">
        <f>SUM(F99:F102)</f>
        <v>1562.5</v>
      </c>
      <c r="G103" s="53"/>
      <c r="H103" s="40"/>
      <c r="I103" s="36"/>
      <c r="J103" s="36"/>
      <c r="K103" s="51"/>
      <c r="L103" s="51"/>
      <c r="M103" s="52">
        <f>SUM(M99:M102)</f>
        <v>1000</v>
      </c>
      <c r="O103" s="54"/>
      <c r="P103" s="55"/>
      <c r="Q103" s="55"/>
      <c r="R103" s="55"/>
      <c r="S103" s="55"/>
      <c r="T103" s="52">
        <f>SUM(T99:T102)</f>
        <v>1322.5</v>
      </c>
      <c r="V103" s="54"/>
      <c r="W103" s="55"/>
      <c r="X103" s="55"/>
      <c r="Y103" s="55"/>
      <c r="Z103" s="55"/>
      <c r="AA103" s="52">
        <f>SUM(AA99:AA102)</f>
        <v>927.5</v>
      </c>
    </row>
    <row r="104" spans="1:27" ht="15.75" thickBot="1" x14ac:dyDescent="0.3"/>
    <row r="105" spans="1:27" ht="15.75" thickBot="1" x14ac:dyDescent="0.3">
      <c r="A105" s="56" t="s">
        <v>19</v>
      </c>
      <c r="B105" s="57"/>
      <c r="C105" s="57"/>
      <c r="D105" s="57"/>
      <c r="E105" s="58"/>
      <c r="F105" s="9" t="s">
        <v>20</v>
      </c>
      <c r="G105" s="10"/>
      <c r="H105" s="10"/>
      <c r="I105" s="10"/>
      <c r="J105" s="9"/>
      <c r="K105" s="59"/>
      <c r="L105" s="60"/>
      <c r="M105" s="61" t="s">
        <v>21</v>
      </c>
      <c r="N105" s="62"/>
      <c r="O105" s="62"/>
      <c r="P105" s="62"/>
      <c r="Q105" s="61"/>
      <c r="R105" s="63"/>
      <c r="S105" s="64"/>
      <c r="T105" s="61" t="s">
        <v>22</v>
      </c>
      <c r="U105" s="62"/>
      <c r="V105" s="62"/>
      <c r="W105" s="62"/>
      <c r="X105" s="177"/>
    </row>
    <row r="106" spans="1:27" ht="15.75" thickBot="1" x14ac:dyDescent="0.3">
      <c r="A106" s="65" t="s">
        <v>23</v>
      </c>
      <c r="B106" s="66"/>
      <c r="C106" s="67"/>
      <c r="D106" s="67"/>
      <c r="E106" s="68"/>
      <c r="F106" s="9" t="s">
        <v>24</v>
      </c>
      <c r="G106" s="10"/>
      <c r="H106" s="10"/>
      <c r="I106" s="9"/>
      <c r="J106" s="69" t="s">
        <v>25</v>
      </c>
      <c r="K106" s="70"/>
      <c r="L106" s="71"/>
      <c r="M106" s="61" t="s">
        <v>24</v>
      </c>
      <c r="N106" s="62"/>
      <c r="O106" s="62"/>
      <c r="P106" s="61"/>
      <c r="Q106" s="62" t="s">
        <v>25</v>
      </c>
      <c r="R106" s="72"/>
      <c r="S106" s="73"/>
      <c r="T106" s="61" t="s">
        <v>24</v>
      </c>
      <c r="U106" s="62"/>
      <c r="V106" s="62"/>
      <c r="W106" s="61"/>
      <c r="X106" s="72" t="s">
        <v>25</v>
      </c>
    </row>
    <row r="107" spans="1:27" x14ac:dyDescent="0.25">
      <c r="A107" s="74" t="s">
        <v>9</v>
      </c>
      <c r="B107" s="75"/>
      <c r="C107" s="76">
        <v>75</v>
      </c>
      <c r="D107" s="77"/>
      <c r="F107" s="78" t="s">
        <v>26</v>
      </c>
      <c r="G107" s="79"/>
      <c r="H107" s="79"/>
      <c r="I107" s="79"/>
      <c r="J107" s="24">
        <f>C107*C108</f>
        <v>1875</v>
      </c>
      <c r="K107" s="80"/>
      <c r="L107" s="81"/>
      <c r="M107" s="82"/>
      <c r="N107" s="83"/>
      <c r="O107" s="83"/>
      <c r="P107" s="83"/>
      <c r="Q107" s="84"/>
      <c r="R107" s="85"/>
      <c r="S107" s="81"/>
      <c r="T107" s="82"/>
      <c r="U107" s="83"/>
      <c r="V107" s="83"/>
      <c r="W107" s="83"/>
      <c r="X107" s="178"/>
    </row>
    <row r="108" spans="1:27" x14ac:dyDescent="0.25">
      <c r="A108" s="86" t="s">
        <v>27</v>
      </c>
      <c r="B108" s="87"/>
      <c r="C108" s="88">
        <v>25</v>
      </c>
      <c r="D108" s="89"/>
      <c r="F108" s="90" t="str">
        <f>" "</f>
        <v xml:space="preserve"> </v>
      </c>
      <c r="G108" s="91"/>
      <c r="H108" s="91"/>
      <c r="I108" s="91"/>
      <c r="J108" s="32"/>
      <c r="K108" s="92"/>
      <c r="L108" s="81"/>
      <c r="M108" s="101" t="s">
        <v>36</v>
      </c>
      <c r="N108" s="94"/>
      <c r="O108" s="94"/>
      <c r="P108" s="94"/>
      <c r="Q108" s="95">
        <f>MAX(C117-AA103/(C119-C118),0)*(C119-C118)</f>
        <v>1172.5</v>
      </c>
      <c r="R108" s="96"/>
      <c r="S108" s="97"/>
      <c r="T108" s="93" t="s">
        <v>28</v>
      </c>
      <c r="U108" s="94"/>
      <c r="V108" s="94"/>
      <c r="W108" s="94"/>
      <c r="X108" s="179">
        <f>J107</f>
        <v>1875</v>
      </c>
    </row>
    <row r="109" spans="1:27" x14ac:dyDescent="0.25">
      <c r="A109" s="86" t="s">
        <v>29</v>
      </c>
      <c r="B109" s="87"/>
      <c r="C109" s="88">
        <v>0</v>
      </c>
      <c r="D109" s="89"/>
      <c r="F109" s="99" t="str">
        <f>"DA Incremental Cost @ "&amp;C107&amp;" MW"</f>
        <v>DA Incremental Cost @ 75 MW</v>
      </c>
      <c r="G109" s="100"/>
      <c r="H109" s="100"/>
      <c r="I109" s="100"/>
      <c r="J109" s="32">
        <f>F103</f>
        <v>1562.5</v>
      </c>
      <c r="K109" s="92"/>
      <c r="L109" s="81"/>
      <c r="M109" s="101"/>
      <c r="N109" s="102"/>
      <c r="O109" s="102"/>
      <c r="P109" s="102"/>
      <c r="Q109" s="95"/>
      <c r="R109" s="96"/>
      <c r="S109" s="81"/>
      <c r="T109" s="101"/>
      <c r="U109" s="102"/>
      <c r="V109" s="102"/>
      <c r="W109" s="102"/>
      <c r="X109" s="179"/>
    </row>
    <row r="110" spans="1:27" x14ac:dyDescent="0.25">
      <c r="A110" s="86" t="s">
        <v>30</v>
      </c>
      <c r="B110" s="87"/>
      <c r="C110" s="88">
        <v>0</v>
      </c>
      <c r="D110" s="89"/>
      <c r="E110" s="103"/>
      <c r="F110" s="99" t="s">
        <v>31</v>
      </c>
      <c r="G110" s="100"/>
      <c r="H110" s="100"/>
      <c r="I110" s="100"/>
      <c r="J110" s="32">
        <f>C110</f>
        <v>0</v>
      </c>
      <c r="K110" s="92"/>
      <c r="L110" s="81"/>
      <c r="M110" s="93"/>
      <c r="N110" s="94"/>
      <c r="O110" s="94"/>
      <c r="P110" s="94"/>
      <c r="Q110" s="95"/>
      <c r="R110" s="96"/>
      <c r="S110" s="81"/>
      <c r="T110" s="93" t="s">
        <v>32</v>
      </c>
      <c r="U110" s="94"/>
      <c r="V110" s="94"/>
      <c r="W110" s="94"/>
      <c r="X110" s="179">
        <f>Q125</f>
        <v>-1500</v>
      </c>
    </row>
    <row r="111" spans="1:27" x14ac:dyDescent="0.25">
      <c r="A111" s="104" t="s">
        <v>33</v>
      </c>
      <c r="B111" s="105"/>
      <c r="C111" s="106">
        <v>50</v>
      </c>
      <c r="D111" s="107"/>
      <c r="F111" s="99" t="s">
        <v>34</v>
      </c>
      <c r="G111" s="100"/>
      <c r="H111" s="100"/>
      <c r="I111" s="100"/>
      <c r="J111" s="32">
        <f>C109</f>
        <v>0</v>
      </c>
      <c r="K111" s="92"/>
      <c r="L111" s="81"/>
      <c r="M111" s="101"/>
      <c r="N111" s="102"/>
      <c r="O111" s="102"/>
      <c r="P111" s="102"/>
      <c r="Q111" s="95"/>
      <c r="R111" s="96"/>
      <c r="S111" s="97"/>
      <c r="T111" s="101"/>
      <c r="U111" s="102"/>
      <c r="V111" s="102"/>
      <c r="W111" s="102"/>
      <c r="X111" s="179"/>
    </row>
    <row r="112" spans="1:27" ht="15.75" thickBot="1" x14ac:dyDescent="0.3">
      <c r="A112" s="108" t="s">
        <v>35</v>
      </c>
      <c r="B112" s="109"/>
      <c r="C112" s="110">
        <v>100</v>
      </c>
      <c r="D112" s="111"/>
      <c r="F112" s="90" t="str">
        <f>" "</f>
        <v xml:space="preserve"> </v>
      </c>
      <c r="G112" s="91"/>
      <c r="H112" s="91"/>
      <c r="I112" s="91"/>
      <c r="J112" s="32"/>
      <c r="K112" s="92"/>
      <c r="L112" s="81"/>
      <c r="M112" s="112"/>
      <c r="N112" s="94"/>
      <c r="O112" s="94"/>
      <c r="P112" s="94"/>
      <c r="Q112" s="95"/>
      <c r="R112" s="96"/>
      <c r="S112" s="81"/>
      <c r="T112" s="112" t="s">
        <v>36</v>
      </c>
      <c r="U112" s="94"/>
      <c r="V112" s="94"/>
      <c r="W112" s="94"/>
      <c r="X112" s="180">
        <f>Q115</f>
        <v>1172.5</v>
      </c>
    </row>
    <row r="113" spans="1:32" x14ac:dyDescent="0.25">
      <c r="C113" s="103"/>
      <c r="D113" s="103"/>
      <c r="F113" s="99" t="s">
        <v>37</v>
      </c>
      <c r="G113" s="100"/>
      <c r="H113" s="100"/>
      <c r="I113" s="100"/>
      <c r="J113" s="115">
        <f>J107-J109-J110-J111</f>
        <v>312.5</v>
      </c>
      <c r="K113" s="116"/>
      <c r="L113" s="98"/>
      <c r="M113" s="101"/>
      <c r="N113" s="102"/>
      <c r="O113" s="102"/>
      <c r="P113" s="102"/>
      <c r="Q113" s="117"/>
      <c r="R113" s="118"/>
      <c r="S113" s="97"/>
      <c r="T113" s="101"/>
      <c r="U113" s="102"/>
      <c r="V113" s="102"/>
      <c r="W113" s="102"/>
      <c r="X113" s="179"/>
    </row>
    <row r="114" spans="1:32" ht="15.75" thickBot="1" x14ac:dyDescent="0.3">
      <c r="A114" s="56" t="s">
        <v>19</v>
      </c>
      <c r="B114" s="57"/>
      <c r="C114" s="57"/>
      <c r="D114" s="57"/>
      <c r="E114" s="57"/>
      <c r="F114" s="90" t="str">
        <f>" "</f>
        <v xml:space="preserve"> </v>
      </c>
      <c r="G114" s="91"/>
      <c r="H114" s="91"/>
      <c r="I114" s="91"/>
      <c r="J114" s="32"/>
      <c r="K114" s="92"/>
      <c r="L114" s="81"/>
      <c r="M114" s="112"/>
      <c r="N114" s="94"/>
      <c r="O114" s="94"/>
      <c r="P114" s="94"/>
      <c r="Q114" s="95"/>
      <c r="R114" s="96"/>
      <c r="S114" s="81"/>
      <c r="T114" s="112"/>
      <c r="U114" s="94"/>
      <c r="V114" s="94"/>
      <c r="W114" s="94"/>
      <c r="X114" s="179"/>
    </row>
    <row r="115" spans="1:32" ht="15.75" thickBot="1" x14ac:dyDescent="0.3">
      <c r="A115" s="65" t="s">
        <v>38</v>
      </c>
      <c r="B115" s="119"/>
      <c r="C115" s="120"/>
      <c r="D115" s="120"/>
      <c r="E115" s="103"/>
      <c r="F115" s="99" t="s">
        <v>39</v>
      </c>
      <c r="G115" s="100"/>
      <c r="H115" s="100"/>
      <c r="I115" s="100"/>
      <c r="J115" s="121">
        <f>MAX(J113*-1,0)</f>
        <v>0</v>
      </c>
      <c r="K115" s="122"/>
      <c r="L115" s="98"/>
      <c r="M115" s="101" t="s">
        <v>36</v>
      </c>
      <c r="N115" s="102"/>
      <c r="O115" s="102"/>
      <c r="P115" s="102"/>
      <c r="Q115" s="123">
        <f>Q108</f>
        <v>1172.5</v>
      </c>
      <c r="R115" s="124"/>
      <c r="S115" s="97"/>
      <c r="T115" s="101" t="s">
        <v>40</v>
      </c>
      <c r="U115" s="102"/>
      <c r="V115" s="102"/>
      <c r="W115" s="102"/>
      <c r="X115" s="181">
        <f>X108+X110+X112-X114</f>
        <v>1547.5</v>
      </c>
    </row>
    <row r="116" spans="1:32" ht="16.5" thickTop="1" thickBot="1" x14ac:dyDescent="0.3">
      <c r="A116" s="125" t="s">
        <v>41</v>
      </c>
      <c r="B116" s="126"/>
      <c r="C116" s="127">
        <v>50</v>
      </c>
      <c r="D116" s="48"/>
      <c r="F116" s="128" t="str">
        <f>" "</f>
        <v xml:space="preserve"> </v>
      </c>
      <c r="G116" s="129"/>
      <c r="H116" s="129"/>
      <c r="I116" s="129"/>
      <c r="J116" s="39"/>
      <c r="K116" s="130"/>
      <c r="L116" s="81"/>
      <c r="M116" s="131" t="str">
        <f>" "</f>
        <v xml:space="preserve"> </v>
      </c>
      <c r="N116" s="132"/>
      <c r="O116" s="132"/>
      <c r="P116" s="132"/>
      <c r="Q116" s="133"/>
      <c r="R116" s="134"/>
      <c r="S116" s="81"/>
      <c r="T116" s="131" t="str">
        <f>" "</f>
        <v xml:space="preserve"> </v>
      </c>
      <c r="U116" s="132"/>
      <c r="V116" s="132"/>
      <c r="W116" s="132"/>
      <c r="X116" s="182"/>
    </row>
    <row r="117" spans="1:32" x14ac:dyDescent="0.25">
      <c r="A117" s="28" t="s">
        <v>27</v>
      </c>
      <c r="B117" s="135"/>
      <c r="C117" s="32">
        <v>60</v>
      </c>
      <c r="D117" s="136"/>
      <c r="F117" s="137"/>
      <c r="G117" s="138"/>
      <c r="H117" s="138"/>
      <c r="I117" s="138"/>
      <c r="J117" s="98"/>
      <c r="K117" s="81"/>
      <c r="L117" s="81"/>
      <c r="M117" s="81"/>
      <c r="N117" s="81"/>
      <c r="O117" s="81"/>
      <c r="P117" s="81"/>
      <c r="Q117" s="98"/>
      <c r="R117" s="81"/>
      <c r="S117" s="81"/>
      <c r="T117" s="81"/>
      <c r="U117" s="81"/>
    </row>
    <row r="118" spans="1:32" ht="15.75" thickBot="1" x14ac:dyDescent="0.3">
      <c r="A118" s="91" t="s">
        <v>42</v>
      </c>
      <c r="B118" s="126"/>
      <c r="C118" s="127">
        <v>65</v>
      </c>
      <c r="D118" s="48"/>
      <c r="F118" s="139" t="s">
        <v>60</v>
      </c>
      <c r="G118" s="139"/>
      <c r="H118" s="139"/>
      <c r="I118" s="139"/>
      <c r="J118" s="139"/>
      <c r="K118" s="139"/>
      <c r="L118" s="140"/>
      <c r="M118" s="141" t="s">
        <v>43</v>
      </c>
      <c r="N118" s="141"/>
      <c r="O118" s="141"/>
      <c r="P118" s="141"/>
      <c r="Q118" s="57"/>
      <c r="R118" s="57"/>
      <c r="T118" s="141" t="s">
        <v>61</v>
      </c>
      <c r="U118" s="141"/>
      <c r="V118" s="141"/>
      <c r="W118" s="141"/>
      <c r="X118" s="57"/>
      <c r="Y118" s="57"/>
      <c r="AA118" s="29"/>
      <c r="AB118" s="141"/>
      <c r="AC118" s="141"/>
    </row>
    <row r="119" spans="1:32" ht="15.75" thickBot="1" x14ac:dyDescent="0.3">
      <c r="A119" s="91" t="s">
        <v>62</v>
      </c>
      <c r="B119" s="126"/>
      <c r="C119" s="127">
        <v>100</v>
      </c>
      <c r="D119" s="48"/>
      <c r="F119" s="9" t="s">
        <v>44</v>
      </c>
      <c r="G119" s="10"/>
      <c r="H119" s="10"/>
      <c r="I119" s="10"/>
      <c r="J119" s="11"/>
      <c r="K119" s="11"/>
      <c r="L119" s="73"/>
      <c r="M119" s="9" t="s">
        <v>45</v>
      </c>
      <c r="N119" s="10"/>
      <c r="O119" s="10"/>
      <c r="P119" s="10"/>
      <c r="Q119" s="11"/>
      <c r="R119" s="11"/>
      <c r="T119" s="9" t="s">
        <v>71</v>
      </c>
      <c r="U119" s="10"/>
      <c r="V119" s="10"/>
      <c r="W119" s="10"/>
      <c r="X119" s="11"/>
      <c r="Y119" s="11"/>
      <c r="AA119" s="61" t="s">
        <v>46</v>
      </c>
      <c r="AB119" s="62"/>
      <c r="AC119" s="62"/>
      <c r="AD119" s="62"/>
      <c r="AE119" s="61"/>
      <c r="AF119" s="63"/>
    </row>
    <row r="120" spans="1:32" ht="15.75" thickBot="1" x14ac:dyDescent="0.3">
      <c r="A120" s="28" t="s">
        <v>29</v>
      </c>
      <c r="B120" s="29"/>
      <c r="C120" s="32">
        <v>0</v>
      </c>
      <c r="D120" s="136"/>
      <c r="F120" s="128" t="s">
        <v>24</v>
      </c>
      <c r="G120" s="129"/>
      <c r="H120" s="9"/>
      <c r="I120" s="10"/>
      <c r="J120" s="70" t="s">
        <v>25</v>
      </c>
      <c r="K120" s="70"/>
      <c r="L120" s="81"/>
      <c r="M120" s="128" t="s">
        <v>24</v>
      </c>
      <c r="N120" s="129"/>
      <c r="O120" s="9"/>
      <c r="P120" s="10"/>
      <c r="Q120" s="70" t="s">
        <v>25</v>
      </c>
      <c r="R120" s="70"/>
      <c r="T120" s="128" t="s">
        <v>24</v>
      </c>
      <c r="U120" s="129"/>
      <c r="V120" s="9"/>
      <c r="W120" s="10"/>
      <c r="X120" s="70" t="s">
        <v>25</v>
      </c>
      <c r="Y120" s="70"/>
      <c r="AA120" s="61" t="s">
        <v>24</v>
      </c>
      <c r="AB120" s="62"/>
      <c r="AC120" s="62"/>
      <c r="AD120" s="61"/>
      <c r="AE120" s="62" t="s">
        <v>25</v>
      </c>
      <c r="AF120" s="72"/>
    </row>
    <row r="121" spans="1:32" x14ac:dyDescent="0.25">
      <c r="A121" s="142" t="s">
        <v>30</v>
      </c>
      <c r="B121" s="29"/>
      <c r="C121" s="32">
        <v>0</v>
      </c>
      <c r="D121" s="136"/>
      <c r="F121" s="143" t="s">
        <v>26</v>
      </c>
      <c r="G121" s="144"/>
      <c r="H121" s="144"/>
      <c r="I121" s="144"/>
      <c r="J121" s="24">
        <f>J107</f>
        <v>1875</v>
      </c>
      <c r="K121" s="145"/>
      <c r="L121" s="97"/>
      <c r="M121" s="143" t="s">
        <v>26</v>
      </c>
      <c r="N121" s="144"/>
      <c r="O121" s="144"/>
      <c r="P121" s="144"/>
      <c r="Q121" s="24">
        <f>J107</f>
        <v>1875</v>
      </c>
      <c r="R121" s="145"/>
      <c r="T121" s="143" t="s">
        <v>26</v>
      </c>
      <c r="U121" s="144"/>
      <c r="V121" s="144"/>
      <c r="W121" s="144"/>
      <c r="X121" s="24">
        <f>J107</f>
        <v>1875</v>
      </c>
      <c r="Y121" s="145"/>
      <c r="AA121" s="82"/>
      <c r="AB121" s="83"/>
      <c r="AC121" s="83"/>
      <c r="AD121" s="83"/>
      <c r="AE121" s="84"/>
      <c r="AF121" s="85"/>
    </row>
    <row r="122" spans="1:32" x14ac:dyDescent="0.25">
      <c r="A122" s="90" t="s">
        <v>47</v>
      </c>
      <c r="B122" s="126"/>
      <c r="C122" s="127">
        <v>50</v>
      </c>
      <c r="D122" s="48"/>
      <c r="F122" s="90" t="str">
        <f>" "</f>
        <v xml:space="preserve"> </v>
      </c>
      <c r="G122" s="91"/>
      <c r="H122" s="91"/>
      <c r="I122" s="91"/>
      <c r="J122" s="32"/>
      <c r="K122" s="146"/>
      <c r="L122" s="81"/>
      <c r="M122" s="90" t="str">
        <f>" "</f>
        <v xml:space="preserve"> </v>
      </c>
      <c r="N122" s="91"/>
      <c r="O122" s="91"/>
      <c r="P122" s="91"/>
      <c r="Q122" s="32"/>
      <c r="R122" s="146"/>
      <c r="T122" s="90" t="str">
        <f>" "</f>
        <v xml:space="preserve"> </v>
      </c>
      <c r="U122" s="91"/>
      <c r="V122" s="91"/>
      <c r="W122" s="91"/>
      <c r="X122" s="32"/>
      <c r="Y122" s="146"/>
      <c r="AA122" s="93" t="s">
        <v>40</v>
      </c>
      <c r="AB122" s="94"/>
      <c r="AC122" s="94"/>
      <c r="AD122" s="94"/>
      <c r="AE122" s="95">
        <f>X115</f>
        <v>1547.5</v>
      </c>
      <c r="AF122" s="96"/>
    </row>
    <row r="123" spans="1:32" ht="15.75" thickBot="1" x14ac:dyDescent="0.3">
      <c r="A123" s="128" t="s">
        <v>48</v>
      </c>
      <c r="B123" s="147"/>
      <c r="C123" s="148">
        <v>100</v>
      </c>
      <c r="D123" s="149"/>
      <c r="F123" s="99" t="s">
        <v>39</v>
      </c>
      <c r="G123" s="100"/>
      <c r="H123" s="100"/>
      <c r="I123" s="100"/>
      <c r="J123" s="32">
        <f>J115</f>
        <v>0</v>
      </c>
      <c r="K123" s="146"/>
      <c r="L123" s="97"/>
      <c r="M123" s="99" t="s">
        <v>39</v>
      </c>
      <c r="N123" s="100"/>
      <c r="O123" s="100"/>
      <c r="P123" s="100"/>
      <c r="Q123" s="32">
        <f>J115</f>
        <v>0</v>
      </c>
      <c r="R123" s="146"/>
      <c r="T123" s="99" t="s">
        <v>39</v>
      </c>
      <c r="U123" s="100"/>
      <c r="V123" s="100"/>
      <c r="W123" s="100"/>
      <c r="X123" s="32">
        <f>J115</f>
        <v>0</v>
      </c>
      <c r="Y123" s="146"/>
      <c r="AA123" s="101"/>
      <c r="AB123" s="102"/>
      <c r="AC123" s="102"/>
      <c r="AD123" s="102"/>
      <c r="AE123" s="95"/>
      <c r="AF123" s="96"/>
    </row>
    <row r="124" spans="1:32" x14ac:dyDescent="0.25">
      <c r="F124" s="90" t="str">
        <f>" "</f>
        <v xml:space="preserve"> </v>
      </c>
      <c r="G124" s="91"/>
      <c r="H124" s="91"/>
      <c r="I124" s="91"/>
      <c r="J124" s="32"/>
      <c r="K124" s="146"/>
      <c r="L124" s="71"/>
      <c r="M124" s="90" t="str">
        <f>" "</f>
        <v xml:space="preserve"> </v>
      </c>
      <c r="N124" s="91"/>
      <c r="O124" s="91"/>
      <c r="P124" s="91"/>
      <c r="Q124" s="32"/>
      <c r="R124" s="146"/>
      <c r="T124" s="90" t="str">
        <f>" "</f>
        <v xml:space="preserve"> </v>
      </c>
      <c r="U124" s="91"/>
      <c r="V124" s="91"/>
      <c r="W124" s="91"/>
      <c r="X124" s="32"/>
      <c r="Y124" s="146"/>
      <c r="AA124" s="93" t="str">
        <f>"RT Incremental Cost @ "&amp;C116&amp;" MW"</f>
        <v>RT Incremental Cost @ 50 MW</v>
      </c>
      <c r="AB124" s="94"/>
      <c r="AC124" s="94"/>
      <c r="AD124" s="94"/>
      <c r="AE124" s="95">
        <f>Q128</f>
        <v>1000</v>
      </c>
      <c r="AF124" s="96"/>
    </row>
    <row r="125" spans="1:32" ht="30" x14ac:dyDescent="0.25">
      <c r="F125" s="99" t="s">
        <v>49</v>
      </c>
      <c r="G125" s="100"/>
      <c r="H125" s="100"/>
      <c r="I125" s="100"/>
      <c r="J125" s="32">
        <f>(C118-C107)*C117</f>
        <v>-600</v>
      </c>
      <c r="K125" s="146"/>
      <c r="L125" s="97"/>
      <c r="M125" s="99" t="s">
        <v>50</v>
      </c>
      <c r="N125" s="100"/>
      <c r="O125" s="100"/>
      <c r="P125" s="100"/>
      <c r="Q125" s="32">
        <f>(C116-C107)*C117</f>
        <v>-1500</v>
      </c>
      <c r="R125" s="146"/>
      <c r="T125" s="99" t="s">
        <v>72</v>
      </c>
      <c r="U125" s="100"/>
      <c r="V125" s="100"/>
      <c r="W125" s="100"/>
      <c r="X125" s="32">
        <f>(C118-C107)*C117</f>
        <v>-600</v>
      </c>
      <c r="Y125" s="146"/>
      <c r="AA125" s="101" t="s">
        <v>51</v>
      </c>
      <c r="AB125" s="102"/>
      <c r="AC125" s="102"/>
      <c r="AD125" s="102"/>
      <c r="AE125" s="95">
        <f>Q129</f>
        <v>0</v>
      </c>
      <c r="AF125" s="96"/>
    </row>
    <row r="126" spans="1:32" x14ac:dyDescent="0.25">
      <c r="A126" s="150"/>
      <c r="B126" s="151"/>
      <c r="C126" s="57"/>
      <c r="D126" s="57"/>
      <c r="F126" s="90" t="str">
        <f>"Company Responsible Losses @ "&amp;IF(AND(C123&lt;C112,C107&gt;0),MAX(C107-MAX(C123,C119),0),0)&amp;" MW"</f>
        <v>Company Responsible Losses @ 0 MW</v>
      </c>
      <c r="G126" s="91"/>
      <c r="H126" s="91"/>
      <c r="I126" s="91"/>
      <c r="J126" s="32">
        <f>IF(AND(C123&lt;C112,C107&gt;0),MAX(C107-MAX(C119,C123),0)*MIN(C108-C117,0),0)</f>
        <v>0</v>
      </c>
      <c r="K126" s="146"/>
      <c r="L126" s="152"/>
      <c r="M126" s="90" t="str">
        <f>" "</f>
        <v xml:space="preserve"> </v>
      </c>
      <c r="N126" s="91"/>
      <c r="O126" s="91"/>
      <c r="P126" s="91"/>
      <c r="Q126" s="32"/>
      <c r="R126" s="146"/>
      <c r="T126" s="174" t="str">
        <f>"Company Responsible Losses @ "&amp;IF(AND(C123&lt;C112,C107&gt;0),MAX(C107-MAX(C123,C119),0),0)&amp;" MW"</f>
        <v>Company Responsible Losses @ 0 MW</v>
      </c>
      <c r="U126" s="155"/>
      <c r="V126" s="155"/>
      <c r="W126" s="155"/>
      <c r="X126" s="32">
        <f>IF(AND(C123&lt;C112,C107&gt;0),MAX(C107-MAX(C119,C123),0)*MIN(C108-C117,0),0)</f>
        <v>0</v>
      </c>
      <c r="Y126" s="146"/>
      <c r="AA126" s="93" t="s">
        <v>52</v>
      </c>
      <c r="AB126" s="94"/>
      <c r="AC126" s="94"/>
      <c r="AD126" s="94"/>
      <c r="AE126" s="113">
        <f>Q130</f>
        <v>0</v>
      </c>
      <c r="AF126" s="114"/>
    </row>
    <row r="127" spans="1:32" x14ac:dyDescent="0.25">
      <c r="A127" s="150"/>
      <c r="B127" s="151"/>
      <c r="C127" s="57"/>
      <c r="D127" s="57"/>
      <c r="F127" s="153" t="s">
        <v>36</v>
      </c>
      <c r="G127" s="154"/>
      <c r="H127" s="154"/>
      <c r="I127" s="154"/>
      <c r="J127" s="175">
        <f>Q108</f>
        <v>1172.5</v>
      </c>
      <c r="K127" s="176"/>
      <c r="L127" s="152"/>
      <c r="M127" s="153" t="s">
        <v>36</v>
      </c>
      <c r="N127" s="154"/>
      <c r="O127" s="154"/>
      <c r="P127" s="154"/>
      <c r="Q127" s="175">
        <f>Q108</f>
        <v>1172.5</v>
      </c>
      <c r="R127" s="176"/>
      <c r="T127" s="174"/>
      <c r="U127" s="155"/>
      <c r="V127" s="155"/>
      <c r="W127" s="155"/>
      <c r="X127" s="32"/>
      <c r="Y127" s="146"/>
      <c r="AA127" s="93"/>
      <c r="AB127" s="94"/>
      <c r="AC127" s="94"/>
      <c r="AD127" s="94"/>
      <c r="AE127" s="113"/>
      <c r="AF127" s="114"/>
    </row>
    <row r="128" spans="1:32" x14ac:dyDescent="0.25">
      <c r="A128" s="156"/>
      <c r="B128" s="151"/>
      <c r="C128" s="57"/>
      <c r="D128" s="57"/>
      <c r="F128" s="99" t="str">
        <f>"RT Incremental Cost @ "&amp;C118&amp;" MW"</f>
        <v>RT Incremental Cost @ 65 MW</v>
      </c>
      <c r="G128" s="100"/>
      <c r="H128" s="100"/>
      <c r="I128" s="100"/>
      <c r="J128" s="32">
        <f>T103</f>
        <v>1322.5</v>
      </c>
      <c r="K128" s="146"/>
      <c r="L128" s="97"/>
      <c r="M128" s="99" t="str">
        <f>"RT Incremental Cost @ "&amp;C116&amp;" MW"</f>
        <v>RT Incremental Cost @ 50 MW</v>
      </c>
      <c r="N128" s="100"/>
      <c r="O128" s="100"/>
      <c r="P128" s="100"/>
      <c r="Q128" s="32">
        <f>M103</f>
        <v>1000</v>
      </c>
      <c r="R128" s="146"/>
      <c r="T128" s="99" t="str">
        <f>"RT Incremental Cost @ "&amp;C118&amp;" MW"</f>
        <v>RT Incremental Cost @ 65 MW</v>
      </c>
      <c r="U128" s="100"/>
      <c r="V128" s="100"/>
      <c r="W128" s="100"/>
      <c r="X128" s="32">
        <f>T103</f>
        <v>1322.5</v>
      </c>
      <c r="Y128" s="146"/>
      <c r="AA128" s="101"/>
      <c r="AB128" s="102"/>
      <c r="AC128" s="102"/>
      <c r="AD128" s="102"/>
      <c r="AE128" s="95"/>
      <c r="AF128" s="96"/>
    </row>
    <row r="129" spans="1:32" x14ac:dyDescent="0.25">
      <c r="A129" s="157"/>
      <c r="C129" s="173"/>
      <c r="D129" s="57"/>
      <c r="E129" s="158"/>
      <c r="F129" s="99" t="s">
        <v>51</v>
      </c>
      <c r="G129" s="100"/>
      <c r="H129" s="100"/>
      <c r="I129" s="100"/>
      <c r="J129" s="32">
        <f>C121</f>
        <v>0</v>
      </c>
      <c r="K129" s="146"/>
      <c r="L129" s="81"/>
      <c r="M129" s="99" t="s">
        <v>51</v>
      </c>
      <c r="N129" s="100"/>
      <c r="O129" s="100"/>
      <c r="P129" s="100"/>
      <c r="Q129" s="32">
        <f>C121</f>
        <v>0</v>
      </c>
      <c r="R129" s="146"/>
      <c r="T129" s="99" t="s">
        <v>51</v>
      </c>
      <c r="U129" s="100"/>
      <c r="V129" s="100"/>
      <c r="W129" s="100"/>
      <c r="X129" s="32">
        <f>C121</f>
        <v>0</v>
      </c>
      <c r="Y129" s="146"/>
      <c r="AA129" s="93" t="s">
        <v>53</v>
      </c>
      <c r="AB129" s="94"/>
      <c r="AC129" s="94"/>
      <c r="AD129" s="94"/>
      <c r="AE129" s="95">
        <f>AE122-AE124-AE125-AE126</f>
        <v>547.5</v>
      </c>
      <c r="AF129" s="96"/>
    </row>
    <row r="130" spans="1:32" x14ac:dyDescent="0.25">
      <c r="A130" s="157"/>
      <c r="B130" s="158"/>
      <c r="C130" s="57"/>
      <c r="D130" s="57"/>
      <c r="E130" s="159"/>
      <c r="F130" s="99" t="s">
        <v>52</v>
      </c>
      <c r="G130" s="100"/>
      <c r="H130" s="100"/>
      <c r="I130" s="100"/>
      <c r="J130" s="32">
        <f>C120</f>
        <v>0</v>
      </c>
      <c r="K130" s="146"/>
      <c r="L130" s="81"/>
      <c r="M130" s="99" t="s">
        <v>52</v>
      </c>
      <c r="N130" s="100"/>
      <c r="O130" s="100"/>
      <c r="P130" s="100"/>
      <c r="Q130" s="32">
        <f>C120</f>
        <v>0</v>
      </c>
      <c r="R130" s="146"/>
      <c r="T130" s="99" t="s">
        <v>52</v>
      </c>
      <c r="U130" s="100"/>
      <c r="V130" s="100"/>
      <c r="W130" s="100"/>
      <c r="X130" s="32">
        <f>C120</f>
        <v>0</v>
      </c>
      <c r="Y130" s="146"/>
      <c r="AA130" s="101"/>
      <c r="AB130" s="102"/>
      <c r="AC130" s="102"/>
      <c r="AD130" s="102"/>
      <c r="AE130" s="95"/>
      <c r="AF130" s="96"/>
    </row>
    <row r="131" spans="1:32" ht="15.75" thickBot="1" x14ac:dyDescent="0.3">
      <c r="A131" s="157"/>
      <c r="B131" s="158"/>
      <c r="C131" s="57"/>
      <c r="D131" s="57"/>
      <c r="F131" s="90" t="str">
        <f>" "</f>
        <v xml:space="preserve"> </v>
      </c>
      <c r="G131" s="91"/>
      <c r="H131" s="91"/>
      <c r="I131" s="91"/>
      <c r="J131" s="32"/>
      <c r="K131" s="146"/>
      <c r="M131" s="90" t="str">
        <f>" "</f>
        <v xml:space="preserve"> </v>
      </c>
      <c r="N131" s="91"/>
      <c r="O131" s="91"/>
      <c r="P131" s="91"/>
      <c r="Q131" s="32"/>
      <c r="R131" s="146"/>
      <c r="T131" s="90" t="str">
        <f>" "</f>
        <v xml:space="preserve"> </v>
      </c>
      <c r="U131" s="91"/>
      <c r="V131" s="91"/>
      <c r="W131" s="91"/>
      <c r="X131" s="32"/>
      <c r="Y131" s="146"/>
      <c r="AA131" s="131" t="str">
        <f>" "</f>
        <v xml:space="preserve"> </v>
      </c>
      <c r="AB131" s="132"/>
      <c r="AC131" s="132"/>
      <c r="AD131" s="132"/>
      <c r="AE131" s="133"/>
      <c r="AF131" s="134"/>
    </row>
    <row r="132" spans="1:32" x14ac:dyDescent="0.25">
      <c r="A132" s="157"/>
      <c r="B132" s="158"/>
      <c r="C132" s="57"/>
      <c r="D132" s="57"/>
      <c r="F132" s="99" t="s">
        <v>54</v>
      </c>
      <c r="G132" s="100"/>
      <c r="H132" s="100"/>
      <c r="I132" s="100"/>
      <c r="J132" s="115">
        <f>J121+J125+Q115-J128-J129-J130</f>
        <v>1125</v>
      </c>
      <c r="K132" s="160"/>
      <c r="M132" s="161" t="s">
        <v>54</v>
      </c>
      <c r="N132" s="162"/>
      <c r="O132" s="162"/>
      <c r="P132" s="162"/>
      <c r="Q132" s="115">
        <f>Q121+Q125+Q127-Q128-Q129-Q130</f>
        <v>547.5</v>
      </c>
      <c r="R132" s="160"/>
      <c r="T132" s="161" t="s">
        <v>54</v>
      </c>
      <c r="U132" s="162"/>
      <c r="V132" s="162"/>
      <c r="W132" s="162"/>
      <c r="X132" s="115">
        <f>X121+X125-X128-X129-X130</f>
        <v>-47.5</v>
      </c>
      <c r="Y132" s="160"/>
      <c r="AA132" s="162"/>
      <c r="AB132" s="162"/>
    </row>
    <row r="133" spans="1:32" x14ac:dyDescent="0.25">
      <c r="A133" s="157"/>
      <c r="C133" s="57"/>
      <c r="D133" s="57"/>
      <c r="F133" s="90" t="str">
        <f>" "</f>
        <v xml:space="preserve"> </v>
      </c>
      <c r="G133" s="91"/>
      <c r="H133" s="91"/>
      <c r="I133" s="91"/>
      <c r="J133" s="32"/>
      <c r="K133" s="146"/>
      <c r="M133" s="90" t="str">
        <f>" "</f>
        <v xml:space="preserve"> </v>
      </c>
      <c r="N133" s="91"/>
      <c r="O133" s="91"/>
      <c r="P133" s="91"/>
      <c r="Q133" s="32"/>
      <c r="R133" s="146"/>
      <c r="T133" s="90" t="str">
        <f>" "</f>
        <v xml:space="preserve"> </v>
      </c>
      <c r="U133" s="91"/>
      <c r="V133" s="91"/>
      <c r="W133" s="91"/>
      <c r="X133" s="32"/>
      <c r="Y133" s="146"/>
      <c r="AA133" s="91"/>
      <c r="AB133" s="91"/>
    </row>
    <row r="134" spans="1:32" ht="15.75" thickBot="1" x14ac:dyDescent="0.3">
      <c r="F134" s="99" t="s">
        <v>55</v>
      </c>
      <c r="G134" s="100"/>
      <c r="H134" s="100"/>
      <c r="I134" s="100"/>
      <c r="J134" s="121">
        <f>MAX(MAX(J132*-1,0)-J123,0)</f>
        <v>0</v>
      </c>
      <c r="K134" s="163"/>
      <c r="M134" s="161" t="s">
        <v>55</v>
      </c>
      <c r="N134" s="162"/>
      <c r="O134" s="162"/>
      <c r="P134" s="162"/>
      <c r="Q134" s="121">
        <f>MAX(MAX(Q132*-1,0)-Q123,0)</f>
        <v>0</v>
      </c>
      <c r="R134" s="163"/>
      <c r="T134" s="161" t="s">
        <v>55</v>
      </c>
      <c r="U134" s="162"/>
      <c r="V134" s="162"/>
      <c r="W134" s="162"/>
      <c r="X134" s="121">
        <f>MAX(MAX(X132*-1,0)-X123,0)</f>
        <v>47.5</v>
      </c>
      <c r="Y134" s="163"/>
      <c r="AA134" s="162"/>
      <c r="AB134" s="162"/>
      <c r="AD134" s="158"/>
    </row>
    <row r="135" spans="1:32" ht="16.5" thickTop="1" thickBot="1" x14ac:dyDescent="0.3">
      <c r="F135" s="128" t="str">
        <f>" "</f>
        <v xml:space="preserve"> </v>
      </c>
      <c r="G135" s="129"/>
      <c r="H135" s="129"/>
      <c r="I135" s="129"/>
      <c r="J135" s="39"/>
      <c r="K135" s="164"/>
      <c r="L135" s="29"/>
      <c r="M135" s="128" t="str">
        <f>" "</f>
        <v xml:space="preserve"> </v>
      </c>
      <c r="N135" s="129"/>
      <c r="O135" s="129"/>
      <c r="P135" s="129"/>
      <c r="Q135" s="39"/>
      <c r="R135" s="165"/>
      <c r="S135" s="29"/>
      <c r="T135" s="128" t="str">
        <f>" "</f>
        <v xml:space="preserve"> </v>
      </c>
      <c r="U135" s="129"/>
      <c r="V135" s="129"/>
      <c r="W135" s="129"/>
      <c r="X135" s="39"/>
      <c r="Y135" s="165"/>
      <c r="AA135" s="91"/>
      <c r="AB135" s="91"/>
      <c r="AE135" s="158"/>
    </row>
    <row r="136" spans="1:32" x14ac:dyDescent="0.25">
      <c r="E136" s="166"/>
      <c r="F136" s="166"/>
      <c r="G136" s="166"/>
      <c r="H136" s="166"/>
      <c r="I136" s="166"/>
      <c r="K136" s="167"/>
      <c r="L136" s="167"/>
      <c r="M136" s="167"/>
      <c r="N136" s="167"/>
      <c r="O136" s="167"/>
      <c r="Q136" s="167"/>
      <c r="R136" s="167"/>
      <c r="S136" s="167"/>
      <c r="T136" s="167"/>
      <c r="U136" s="167"/>
    </row>
    <row r="137" spans="1:32" x14ac:dyDescent="0.25">
      <c r="E137" s="58"/>
      <c r="F137" s="58"/>
      <c r="G137" s="58"/>
      <c r="H137" s="58"/>
      <c r="I137" s="58"/>
      <c r="K137" s="58"/>
      <c r="L137" s="58"/>
      <c r="M137" s="58"/>
      <c r="N137" s="58"/>
      <c r="O137" s="58"/>
      <c r="Q137" s="58"/>
      <c r="R137" s="58"/>
      <c r="S137" s="58"/>
      <c r="T137" s="58"/>
      <c r="U137" s="58"/>
    </row>
    <row r="138" spans="1:32" x14ac:dyDescent="0.25">
      <c r="L138" s="168"/>
      <c r="U138" s="158"/>
    </row>
    <row r="139" spans="1:32" x14ac:dyDescent="0.25">
      <c r="H139" s="57"/>
      <c r="I139" s="169" t="s">
        <v>56</v>
      </c>
      <c r="J139" s="170"/>
      <c r="K139" s="57"/>
      <c r="L139" s="57"/>
    </row>
    <row r="140" spans="1:32" x14ac:dyDescent="0.25">
      <c r="H140" s="157" t="s">
        <v>57</v>
      </c>
      <c r="I140" s="57" t="s">
        <v>58</v>
      </c>
      <c r="J140" s="57"/>
      <c r="K140" s="57"/>
      <c r="L140" s="57"/>
      <c r="M140" s="103">
        <f>MIN(J134,Q134)</f>
        <v>0</v>
      </c>
      <c r="O140" s="171"/>
    </row>
    <row r="141" spans="1:32" ht="30" x14ac:dyDescent="0.25">
      <c r="I141" s="172" t="s">
        <v>59</v>
      </c>
      <c r="J141" s="172"/>
      <c r="K141" s="172"/>
      <c r="L141" s="172"/>
      <c r="M141" s="172"/>
      <c r="N141" s="172"/>
      <c r="O141" s="172"/>
      <c r="P141" s="172"/>
      <c r="Q141" s="57"/>
      <c r="R141" s="57"/>
    </row>
    <row r="174" spans="1:24" ht="18.75" x14ac:dyDescent="0.3">
      <c r="A174" s="186" t="s">
        <v>70</v>
      </c>
      <c r="B174" s="186"/>
      <c r="C174" s="186"/>
      <c r="D174" s="186"/>
      <c r="E174" s="186"/>
      <c r="F174" s="186"/>
      <c r="G174" s="186"/>
      <c r="H174" s="186"/>
      <c r="I174" s="186"/>
      <c r="J174" s="186"/>
      <c r="K174" s="186"/>
      <c r="L174" s="186"/>
      <c r="M174" s="186"/>
      <c r="N174" s="186"/>
      <c r="O174" s="186"/>
      <c r="P174" s="186"/>
      <c r="Q174" s="186"/>
      <c r="R174" s="186"/>
      <c r="S174" s="186"/>
      <c r="T174" s="186"/>
      <c r="U174" s="186"/>
      <c r="V174" s="186"/>
      <c r="W174" s="186"/>
      <c r="X174" s="186"/>
    </row>
    <row r="175" spans="1:24" ht="21.75" thickBot="1" x14ac:dyDescent="0.4">
      <c r="A175" s="1" t="s">
        <v>65</v>
      </c>
      <c r="B175" s="1"/>
      <c r="C175" s="1"/>
      <c r="D175" s="1"/>
      <c r="E175" s="1"/>
      <c r="F175" s="1"/>
      <c r="G175" s="1"/>
      <c r="H175" s="1"/>
      <c r="I175" s="1"/>
      <c r="J175" s="1"/>
      <c r="K175" s="1"/>
      <c r="L175" s="1"/>
      <c r="M175" s="1"/>
      <c r="N175" s="1"/>
      <c r="O175" s="1"/>
      <c r="P175" s="1"/>
      <c r="Q175" s="2"/>
      <c r="R175" s="2"/>
      <c r="S175" s="2"/>
      <c r="T175" s="2"/>
    </row>
    <row r="176" spans="1:24" ht="15.75" thickBot="1" x14ac:dyDescent="0.3">
      <c r="A176" s="3" t="s">
        <v>0</v>
      </c>
      <c r="B176" s="4"/>
      <c r="C176" s="4"/>
      <c r="D176" s="5"/>
      <c r="E176" s="6" t="s">
        <v>1</v>
      </c>
      <c r="F176" s="7"/>
      <c r="G176" s="8"/>
      <c r="H176" s="9" t="s">
        <v>2</v>
      </c>
      <c r="I176" s="10"/>
      <c r="J176" s="11"/>
      <c r="K176" s="9" t="s">
        <v>3</v>
      </c>
      <c r="L176" s="10"/>
      <c r="M176" s="11"/>
      <c r="N176" s="9" t="s">
        <v>4</v>
      </c>
      <c r="O176" s="10"/>
      <c r="P176" s="11"/>
      <c r="Q176" s="9" t="s">
        <v>63</v>
      </c>
      <c r="R176" s="10"/>
      <c r="S176" s="10"/>
      <c r="T176" s="11"/>
    </row>
    <row r="177" spans="1:27" ht="30.75" thickBot="1" x14ac:dyDescent="0.3">
      <c r="A177" s="12" t="s">
        <v>5</v>
      </c>
      <c r="B177" s="13" t="s">
        <v>6</v>
      </c>
      <c r="C177" s="13" t="s">
        <v>7</v>
      </c>
      <c r="D177" s="14" t="s">
        <v>8</v>
      </c>
      <c r="E177" s="15" t="s">
        <v>9</v>
      </c>
      <c r="F177" s="16" t="s">
        <v>10</v>
      </c>
      <c r="G177" s="17" t="s">
        <v>11</v>
      </c>
      <c r="H177" s="15" t="s">
        <v>9</v>
      </c>
      <c r="I177" s="16" t="s">
        <v>12</v>
      </c>
      <c r="J177" s="17" t="s">
        <v>13</v>
      </c>
      <c r="K177" s="15" t="s">
        <v>9</v>
      </c>
      <c r="L177" s="16" t="s">
        <v>12</v>
      </c>
      <c r="M177" s="17" t="s">
        <v>13</v>
      </c>
      <c r="N177" s="15" t="s">
        <v>9</v>
      </c>
      <c r="O177" s="16" t="s">
        <v>12</v>
      </c>
      <c r="P177" s="17" t="s">
        <v>13</v>
      </c>
      <c r="Q177" s="18" t="s">
        <v>14</v>
      </c>
      <c r="R177" s="13" t="s">
        <v>15</v>
      </c>
      <c r="S177" s="13" t="s">
        <v>12</v>
      </c>
      <c r="T177" s="19" t="s">
        <v>13</v>
      </c>
    </row>
    <row r="178" spans="1:27" x14ac:dyDescent="0.25">
      <c r="A178" s="20">
        <v>1</v>
      </c>
      <c r="B178" s="21">
        <v>0</v>
      </c>
      <c r="C178" s="21">
        <v>50</v>
      </c>
      <c r="D178" s="22">
        <v>20</v>
      </c>
      <c r="E178" s="23">
        <f>IF(AND(C192&gt;B178,C192&lt;=C178),C192,0)</f>
        <v>50</v>
      </c>
      <c r="F178" s="24">
        <f>IF(C192&gt;0,D178,0)</f>
        <v>20</v>
      </c>
      <c r="G178" s="22">
        <f>IF(E178&gt;0,IF(E178=B178,D178,IF(AND(E178&gt;B178,E178&lt;=C178),D178+(E178-B178)*((D178-D178)/(C178-B178)),0)),0)</f>
        <v>20</v>
      </c>
      <c r="H178" s="25">
        <f>IF(AND(C201&gt;B178,C201&lt;=C178),C201,0)</f>
        <v>0</v>
      </c>
      <c r="I178" s="24">
        <f>IF(C201&gt;0,D178,0)</f>
        <v>20</v>
      </c>
      <c r="J178" s="22">
        <f>IF(H178&gt;0,IF(H178=B178,D178,IF(AND(H178&gt;B178,H178&lt;=C178),D178+(H178-B178)*((D178-D178)/(C178-B178)),0)),0)</f>
        <v>0</v>
      </c>
      <c r="K178" s="26">
        <f>IF(AND(C203&gt;B178,C203&lt;=C178),C203,0)</f>
        <v>0</v>
      </c>
      <c r="L178" s="24">
        <f>IF(C201&gt;0,D178,0)</f>
        <v>20</v>
      </c>
      <c r="M178" s="22">
        <f>IF(K178&gt;0,IF(K178=B178,D178,IF(AND(K178&gt;B178,K178&lt;=C178),D178+(K178-B178)*((D178-D178)/(C178-B178)),0)),0)</f>
        <v>0</v>
      </c>
      <c r="N178" s="26">
        <f>IF(AND(C204&gt;E178,C204&lt;=F178),C204,0)</f>
        <v>0</v>
      </c>
      <c r="O178" s="24">
        <f>IF(C204&gt;0,D178,0)</f>
        <v>0</v>
      </c>
      <c r="P178" s="22">
        <f>IF(N178&gt;0,IF(N178=B178,D178,IF(AND(N178&gt;B178,N178&lt;=C178),D178+(N178-B178)*((D178-D178)/(C178-B178)),0)),0)</f>
        <v>0</v>
      </c>
      <c r="Q178" s="26">
        <f>IF(MIN(C203,C217)=C178,C178,0)</f>
        <v>0</v>
      </c>
      <c r="R178" s="21">
        <f>IF(MAX(C204,C217)=C178,C178,0)</f>
        <v>0</v>
      </c>
      <c r="S178" s="21">
        <f>IF(Q178&gt;0,D178,0)</f>
        <v>0</v>
      </c>
      <c r="T178" s="27">
        <f>IF(R178&gt;0,IF(R178=B178,D178,IF(AND(R178&gt;B178,R178&lt;=C178),D178+(R178-B178)*((D178-D178)/(C178-B178)),0)),0)</f>
        <v>0</v>
      </c>
    </row>
    <row r="179" spans="1:27" x14ac:dyDescent="0.25">
      <c r="A179" s="28">
        <v>2</v>
      </c>
      <c r="B179" s="29">
        <v>50</v>
      </c>
      <c r="C179" s="29">
        <v>75</v>
      </c>
      <c r="D179" s="30">
        <v>25</v>
      </c>
      <c r="E179" s="31">
        <f>IF(AND(C192&gt;B179,C192&lt;=C179),C192,0)</f>
        <v>0</v>
      </c>
      <c r="F179" s="32">
        <v>0</v>
      </c>
      <c r="G179" s="30">
        <f>IF(E179&gt;0,IF(AND(E179&gt;B179,E179&lt;C179),D178+(E179-B179)*((D179-D178)/(C179-B179)),0),0)</f>
        <v>0</v>
      </c>
      <c r="H179" s="33">
        <f>IF(AND(C201&gt;B179,C201&lt;=C179),C201,0)</f>
        <v>75</v>
      </c>
      <c r="I179" s="32">
        <v>0</v>
      </c>
      <c r="J179" s="30">
        <f>IF(H179&gt;0,IF(H179=B179,D179,IF(AND(H179&gt;B179,H179&lt;=C179),D178+(H179-B179)*((D179-D178)/(C179-B179)),0)),0)</f>
        <v>25</v>
      </c>
      <c r="K179" s="33">
        <f>IF(AND(C203&gt;B179,C203&lt;=C179),C203,0)</f>
        <v>65</v>
      </c>
      <c r="L179" s="32">
        <v>0</v>
      </c>
      <c r="M179" s="30">
        <f>IF(K179&gt;0,IF(K179=B179,D179,IF(AND(K179&gt;B179,K179&lt;=C179),D178+(K179-B179)*((D179-D178)/(C179-B179)),0)),0)</f>
        <v>23</v>
      </c>
      <c r="N179" s="33">
        <f>IF(AND(C204&gt;B179,C204&lt;=C179),C204,0)</f>
        <v>0</v>
      </c>
      <c r="O179" s="32">
        <v>0</v>
      </c>
      <c r="P179" s="30">
        <f>IF(N179&gt;0,IF(N179=B179,D179,IF(AND(N179&gt;B179,N179&lt;=C179),D178+(N179-B179)*((D179-D178)/(C179-B179)),0)),0)</f>
        <v>0</v>
      </c>
      <c r="Q179" s="33">
        <f>IF(AND(MIN(C203,C217)&gt;B179,MIN(C203,C217)&lt;=C179),MIN(C203,C217),0)</f>
        <v>65</v>
      </c>
      <c r="R179" s="29">
        <f>IF(AND(MAX(C204,C217)&gt;B179,MAX(C204,C217)&lt;=C179),MAX(C204,C217),0)</f>
        <v>0</v>
      </c>
      <c r="S179" s="29">
        <f>IF(Q179&gt;0,IF(Q179=B179,D179,IF(AND(Q179&gt;B179,Q179&lt;=C179),D178+(Q179-B179)*((D179-D178)/(C179-B179)),0)),0)</f>
        <v>23</v>
      </c>
      <c r="T179" s="34">
        <f>IF(R179&gt;0,IF(R179=B179,D179,IF(AND(R179&gt;B179,R179&lt;=C179),D178+(R179-B179)*((D179-D178)/(C179-B179)),0)),0)</f>
        <v>0</v>
      </c>
    </row>
    <row r="180" spans="1:27" ht="15.75" thickBot="1" x14ac:dyDescent="0.3">
      <c r="A180" s="35">
        <v>3</v>
      </c>
      <c r="B180" s="36">
        <v>75</v>
      </c>
      <c r="C180" s="36">
        <v>100</v>
      </c>
      <c r="D180" s="37">
        <v>30</v>
      </c>
      <c r="E180" s="38">
        <f>IF(AND(C192&gt;B180,C192&lt;=C180),C192,IF(C192&gt;C180,C192,0))</f>
        <v>0</v>
      </c>
      <c r="F180" s="39">
        <v>0</v>
      </c>
      <c r="G180" s="37">
        <f>IF(E180&gt;0,IF(E180=C180,D180,IF(AND(E180&gt;B180,E180&lt;C180),D179+(E180-B180)*((D180-D179)/(C180-B180)),IF(E180&gt;C180,D180,0))),0)</f>
        <v>0</v>
      </c>
      <c r="H180" s="40">
        <f>IF(AND(C201&gt;B180,C201&lt;=C180),C201,IF(C201&gt;C180,C201,0))</f>
        <v>0</v>
      </c>
      <c r="I180" s="39">
        <v>0</v>
      </c>
      <c r="J180" s="37">
        <f>IF(H180&gt;0,IF(H180=B180,D180,IF(AND(H180&gt;B180,H180&lt;=C180),D179+(H180-B180)*((D180-D179)/(C180-B180)),IF(H180&gt;C180,D180,0))),0)</f>
        <v>0</v>
      </c>
      <c r="K180" s="40">
        <f>IF(AND(C203&gt;B180,C203&lt;=C180),C203,IF(C203&gt;C180,C203,0))</f>
        <v>0</v>
      </c>
      <c r="L180" s="39">
        <v>0</v>
      </c>
      <c r="M180" s="37">
        <f>IF(K180&gt;0,IF(K180=B180,D180,IF(AND(K180&gt;B180,K180&lt;=C180),D179+(K180-B180)*((D180-D179)/(C180-B180)),IF(K180&gt;C180,D180,0))),0)</f>
        <v>0</v>
      </c>
      <c r="N180" s="40">
        <f>IF(AND(C204&gt;B180,C204&lt;=C180),C204,IF(C204&gt;C180,C204,0))</f>
        <v>0</v>
      </c>
      <c r="O180" s="39">
        <v>0</v>
      </c>
      <c r="P180" s="37">
        <f>IF(N180&gt;0,IF(N180=B180,D180,IF(AND(N180&gt;B180,N180&lt;=C180),D179+(N180-B180)*((D180-D179)/(C180-B180)),IF(N180&gt;C180,D180,0))),0)</f>
        <v>0</v>
      </c>
      <c r="Q180" s="40">
        <f>IF(AND(MIN(C203,C217)&gt;B180,MIN(C203,C217)&lt;=C180),MIN(C203,C217),0)</f>
        <v>0</v>
      </c>
      <c r="R180" s="36">
        <f>IF(AND(MAX(C204,C217)&gt;B180,MAX(C204,C217)&lt;=C180),MAX(C204,C217),0)</f>
        <v>0</v>
      </c>
      <c r="S180" s="36">
        <f>IF(Q180&gt;0,IF(Q180=B180,D180,IF(AND(Q180&gt;B180,Q180&lt;=C180),D179+(Q180-B180)*((D180-D179)/(C180-B180)),IF(Q180&gt;C180,D180,0))),0)</f>
        <v>0</v>
      </c>
      <c r="T180" s="41">
        <f>IF(R180&gt;0,IF(R180=B180,D180,IF(AND(R180&gt;B180,R180&lt;=C180),D179+(R180-B180)*((D180-D179)/(C180-B180)),IF(R180&gt;C180,D180,0))),0)</f>
        <v>0</v>
      </c>
    </row>
    <row r="181" spans="1:27" ht="15.75" thickBot="1" x14ac:dyDescent="0.3">
      <c r="J181" s="42"/>
    </row>
    <row r="182" spans="1:27" ht="15.75" thickBot="1" x14ac:dyDescent="0.3">
      <c r="A182" s="9" t="s">
        <v>1</v>
      </c>
      <c r="B182" s="9"/>
      <c r="C182" s="10"/>
      <c r="D182" s="10"/>
      <c r="E182" s="10"/>
      <c r="F182" s="11"/>
      <c r="G182" s="43"/>
      <c r="H182" s="6" t="s">
        <v>16</v>
      </c>
      <c r="I182" s="7"/>
      <c r="J182" s="7"/>
      <c r="K182" s="7"/>
      <c r="L182" s="7"/>
      <c r="M182" s="8"/>
      <c r="O182" s="6" t="s">
        <v>17</v>
      </c>
      <c r="P182" s="7"/>
      <c r="Q182" s="7"/>
      <c r="R182" s="7"/>
      <c r="S182" s="7"/>
      <c r="T182" s="8"/>
      <c r="V182" s="6" t="s">
        <v>64</v>
      </c>
      <c r="W182" s="7"/>
      <c r="X182" s="7"/>
      <c r="Y182" s="7"/>
      <c r="Z182" s="7"/>
      <c r="AA182" s="8"/>
    </row>
    <row r="183" spans="1:27" ht="30.75" thickBot="1" x14ac:dyDescent="0.3">
      <c r="A183" s="18" t="s">
        <v>5</v>
      </c>
      <c r="B183" s="13" t="s">
        <v>6</v>
      </c>
      <c r="C183" s="13" t="s">
        <v>7</v>
      </c>
      <c r="D183" s="13" t="s">
        <v>12</v>
      </c>
      <c r="E183" s="13" t="s">
        <v>13</v>
      </c>
      <c r="F183" s="5" t="s">
        <v>18</v>
      </c>
      <c r="G183" s="43"/>
      <c r="H183" s="44" t="s">
        <v>5</v>
      </c>
      <c r="I183" s="16" t="s">
        <v>6</v>
      </c>
      <c r="J183" s="16" t="s">
        <v>7</v>
      </c>
      <c r="K183" s="16" t="s">
        <v>12</v>
      </c>
      <c r="L183" s="16" t="s">
        <v>13</v>
      </c>
      <c r="M183" s="17" t="s">
        <v>18</v>
      </c>
      <c r="O183" s="44" t="s">
        <v>5</v>
      </c>
      <c r="P183" s="16" t="s">
        <v>6</v>
      </c>
      <c r="Q183" s="16" t="s">
        <v>7</v>
      </c>
      <c r="R183" s="16" t="s">
        <v>12</v>
      </c>
      <c r="S183" s="16" t="s">
        <v>13</v>
      </c>
      <c r="T183" s="17" t="s">
        <v>18</v>
      </c>
      <c r="V183" s="44" t="s">
        <v>5</v>
      </c>
      <c r="W183" s="16" t="s">
        <v>6</v>
      </c>
      <c r="X183" s="16" t="s">
        <v>15</v>
      </c>
      <c r="Y183" s="16" t="s">
        <v>12</v>
      </c>
      <c r="Z183" s="16" t="s">
        <v>13</v>
      </c>
      <c r="AA183" s="17" t="s">
        <v>18</v>
      </c>
    </row>
    <row r="184" spans="1:27" x14ac:dyDescent="0.25">
      <c r="A184" s="20">
        <v>1</v>
      </c>
      <c r="B184" s="21">
        <v>0</v>
      </c>
      <c r="C184" s="21">
        <f>IF(AND(C192&gt;B178,C192&lt;C178),C192,IF(C192&gt;=C178,C178,0))</f>
        <v>50</v>
      </c>
      <c r="D184" s="24">
        <f>MIN(D178,F178)</f>
        <v>20</v>
      </c>
      <c r="E184" s="24">
        <f>IF(AND(C192&gt;B178,C192&lt;C178),G178,IF(C192&gt;=C178,D178,0))</f>
        <v>20</v>
      </c>
      <c r="F184" s="22">
        <f>(C184-B184)*(D184+E184)/2</f>
        <v>1000</v>
      </c>
      <c r="G184" s="45"/>
      <c r="H184" s="20">
        <v>1</v>
      </c>
      <c r="I184" s="21">
        <v>0</v>
      </c>
      <c r="J184" s="21">
        <f>IF(AND(C201&gt;B178,C201&lt;C178),C201,IF(C201&gt;=C178,C178,0))</f>
        <v>50</v>
      </c>
      <c r="K184" s="24">
        <f>MIN(D178,I178)</f>
        <v>20</v>
      </c>
      <c r="L184" s="24">
        <f>IF(AND(C201&gt;B178,C201&lt;C178),J178,IF(C201&gt;=C178,D178,0))</f>
        <v>20</v>
      </c>
      <c r="M184" s="22">
        <f>(J184-I184)*(K184+L184)/2</f>
        <v>1000</v>
      </c>
      <c r="O184" s="46">
        <v>1</v>
      </c>
      <c r="P184" s="47">
        <v>0</v>
      </c>
      <c r="Q184" s="47">
        <f>IF(AND(C203&gt;B178,C203&lt;C178),C203,IF(C203&gt;=C178,C178,0))</f>
        <v>50</v>
      </c>
      <c r="R184" s="24">
        <f>MIN(D178,L178)</f>
        <v>20</v>
      </c>
      <c r="S184" s="24">
        <f>IF(AND(C203&gt;B178,C203&lt;C178),M178,IF(C203&gt;=C178,D178,0))</f>
        <v>20</v>
      </c>
      <c r="T184" s="22">
        <f>(Q184-P184)*(R184+S184)/2</f>
        <v>1000</v>
      </c>
      <c r="V184" s="46">
        <v>1</v>
      </c>
      <c r="W184" s="47">
        <v>0</v>
      </c>
      <c r="X184" s="47">
        <f>MIN(Q178,C178)</f>
        <v>0</v>
      </c>
      <c r="Y184" s="24">
        <f>MIN(D178,S178)</f>
        <v>0</v>
      </c>
      <c r="Z184" s="24">
        <f>IF(R178=C178,T178,0)</f>
        <v>0</v>
      </c>
      <c r="AA184" s="22">
        <f>(X184-W184)*(Y184+Z184)/2</f>
        <v>0</v>
      </c>
    </row>
    <row r="185" spans="1:27" x14ac:dyDescent="0.25">
      <c r="A185" s="28">
        <v>2</v>
      </c>
      <c r="B185" s="29">
        <f>IF(C192&gt;B179,C184,0)</f>
        <v>0</v>
      </c>
      <c r="C185" s="29">
        <f>IF(AND(C192&gt;B179,C192&lt;C179),C192,IF(C192&gt;=C179,C179,0))</f>
        <v>0</v>
      </c>
      <c r="D185" s="32">
        <f>IF(B185&lt;&gt;0,E184,0)</f>
        <v>0</v>
      </c>
      <c r="E185" s="32">
        <f>IF(AND(C192&gt;B179,C192&lt;C179),G179,IF(C192&gt;=C179,D179,0))</f>
        <v>0</v>
      </c>
      <c r="F185" s="30">
        <f t="shared" ref="F185:F187" si="10">(C185-B185)*(D185+E185)/2</f>
        <v>0</v>
      </c>
      <c r="G185" s="48"/>
      <c r="H185" s="28">
        <v>2</v>
      </c>
      <c r="I185" s="29">
        <f>IF(C201&gt;B179,J184,0)</f>
        <v>50</v>
      </c>
      <c r="J185" s="29">
        <f>IF(AND(C201&gt;B179,C201&lt;C179),C201,IF(C201&gt;=C179,C179,0))</f>
        <v>75</v>
      </c>
      <c r="K185" s="32">
        <f>IF(I185&lt;&gt;0,L184,0)</f>
        <v>20</v>
      </c>
      <c r="L185" s="32">
        <f>IF(AND(C201&gt;B179,C201&lt;C179),J179,IF(C201&gt;=C179,D179,0))</f>
        <v>25</v>
      </c>
      <c r="M185" s="30">
        <f t="shared" ref="M185:M186" si="11">(J185-I185)*(K185+L185)/2</f>
        <v>562.5</v>
      </c>
      <c r="O185" s="49">
        <v>2</v>
      </c>
      <c r="P185" s="50">
        <f>IF(C203&gt;B179,Q184,0)</f>
        <v>50</v>
      </c>
      <c r="Q185" s="50">
        <f>IF(AND(C203&gt;B179,C203&lt;C179),C203,IF(C203&gt;=C179,C179,0))</f>
        <v>65</v>
      </c>
      <c r="R185" s="32">
        <f>IF(P185&lt;&gt;0,S184,0)</f>
        <v>20</v>
      </c>
      <c r="S185" s="32">
        <f>IF(AND(C203&gt;B179,C203&lt;C179),M179,IF(C203&gt;=C179,D179,0))</f>
        <v>23</v>
      </c>
      <c r="T185" s="30">
        <f t="shared" ref="T185:T187" si="12">(Q185-P185)*(R185+S185)/2</f>
        <v>322.5</v>
      </c>
      <c r="V185" s="49">
        <v>2</v>
      </c>
      <c r="W185" s="50">
        <f>IF(X184&gt;0,B179,MIN(C179,Q179))</f>
        <v>65</v>
      </c>
      <c r="X185" s="50">
        <f>IF(AND(C204&gt;B179,C204&lt;C179,W185&gt;0),C204,IF(C204&gt;=C179,C179,0))</f>
        <v>0</v>
      </c>
      <c r="Y185" s="32">
        <f>IF(W185=Q179,S179,IF(X184&gt;0,D178,0))</f>
        <v>23</v>
      </c>
      <c r="Z185" s="32">
        <f>IF(X185=R179,T179,IF(X185=C179,D179,0))</f>
        <v>0</v>
      </c>
      <c r="AA185" s="30">
        <f t="shared" ref="AA185:AA187" si="13">(X185-W185)*(Y185+Z185)/2</f>
        <v>-747.5</v>
      </c>
    </row>
    <row r="186" spans="1:27" x14ac:dyDescent="0.25">
      <c r="A186" s="28">
        <v>3</v>
      </c>
      <c r="B186" s="29">
        <f>IF(C192&gt;B180,C185,0)</f>
        <v>0</v>
      </c>
      <c r="C186" s="29">
        <f>IF(AND(C192&gt;B180,C192&lt;C180),C192,IF(C192&gt;=C180,C180,0))</f>
        <v>0</v>
      </c>
      <c r="D186" s="32">
        <f t="shared" ref="D186:D187" si="14">IF(B186&lt;&gt;0,E185,0)</f>
        <v>0</v>
      </c>
      <c r="E186" s="32">
        <f>IF(AND(C192&gt;B180,C192&lt;C180),G180,IF(C192&gt;=C180,D180,0))</f>
        <v>0</v>
      </c>
      <c r="F186" s="30">
        <f t="shared" si="10"/>
        <v>0</v>
      </c>
      <c r="G186" s="48"/>
      <c r="H186" s="28">
        <v>3</v>
      </c>
      <c r="I186" s="29">
        <f>IF(C201&gt;B180,J185,0)</f>
        <v>0</v>
      </c>
      <c r="J186" s="29">
        <f>IF(AND(C201&gt;B180,C201&lt;C180),C201,IF(C201&gt;=C180,C180,0))</f>
        <v>0</v>
      </c>
      <c r="K186" s="32">
        <f>IF(I186&lt;&gt;0,L185,0)</f>
        <v>0</v>
      </c>
      <c r="L186" s="32">
        <f>IF(AND(C201&gt;B180,C201&lt;C180),J180,IF(C201&gt;=C180,D180,0))</f>
        <v>0</v>
      </c>
      <c r="M186" s="30">
        <f t="shared" si="11"/>
        <v>0</v>
      </c>
      <c r="O186" s="49">
        <v>3</v>
      </c>
      <c r="P186" s="50">
        <f>IF(C203&gt;B180,Q185,0)</f>
        <v>0</v>
      </c>
      <c r="Q186" s="50">
        <f>IF(AND(C203&gt;B180,C203&lt;C180),C203,IF(C203&gt;=C180,C180,0))</f>
        <v>0</v>
      </c>
      <c r="R186" s="32">
        <f>IF(P186&lt;&gt;0,S185,0)</f>
        <v>0</v>
      </c>
      <c r="S186" s="32">
        <f>IF(AND(C203&gt;B180,C203&lt;C180),M180,IF(C203&gt;=C180,D180,0))</f>
        <v>0</v>
      </c>
      <c r="T186" s="30">
        <f t="shared" si="12"/>
        <v>0</v>
      </c>
      <c r="V186" s="49">
        <v>3</v>
      </c>
      <c r="W186" s="50">
        <f>IF(AND(X185&gt;0,MAX(R178:R180)&gt;C179),B180,MIN(C180,Q180))</f>
        <v>0</v>
      </c>
      <c r="X186" s="50">
        <f>IF(AND(C204&gt;B180,C204&lt;C180,W186&gt;0),C204,IF(C204&gt;=C180,C180,0))</f>
        <v>0</v>
      </c>
      <c r="Y186" s="32">
        <f>IF(W186=Q180,S180,IF(X185&gt;0,D179,0))</f>
        <v>0</v>
      </c>
      <c r="Z186" s="32">
        <f>IF(X186=R180,T180,0)</f>
        <v>0</v>
      </c>
      <c r="AA186" s="30">
        <f t="shared" si="13"/>
        <v>0</v>
      </c>
    </row>
    <row r="187" spans="1:27" x14ac:dyDescent="0.25">
      <c r="A187" s="28">
        <v>4</v>
      </c>
      <c r="B187" s="29">
        <f>IF(C192&gt;C180,C186,0)</f>
        <v>0</v>
      </c>
      <c r="C187" s="29">
        <f>IF(C192&gt;C180,C192,0)</f>
        <v>0</v>
      </c>
      <c r="D187" s="32">
        <f t="shared" si="14"/>
        <v>0</v>
      </c>
      <c r="E187" s="32">
        <f>IF(C192&gt;C180,D180,0)</f>
        <v>0</v>
      </c>
      <c r="F187" s="30">
        <f t="shared" si="10"/>
        <v>0</v>
      </c>
      <c r="G187" s="48"/>
      <c r="H187" s="28">
        <v>4</v>
      </c>
      <c r="I187" s="29">
        <f>IF(C201&gt;C180,J186,0)</f>
        <v>0</v>
      </c>
      <c r="J187" s="29">
        <f>IF(C201&gt;C180,C201,0)</f>
        <v>0</v>
      </c>
      <c r="K187" s="32">
        <f>IF(I187&lt;&gt;0,L186,0)</f>
        <v>0</v>
      </c>
      <c r="L187" s="32">
        <f>IF(J187&gt;0,IF(C201&gt;=C180,J180,IF(AND(C201&gt;B180,C201&lt;C180),J180,0)),0)</f>
        <v>0</v>
      </c>
      <c r="M187" s="30">
        <f>(J187-I187)*(K187+L187)/2</f>
        <v>0</v>
      </c>
      <c r="O187" s="49">
        <v>4</v>
      </c>
      <c r="P187" s="50">
        <f>IF(C203&gt;C180,Q186,0)</f>
        <v>0</v>
      </c>
      <c r="Q187" s="50">
        <f>IF(C203&gt;C180,C203,0)</f>
        <v>0</v>
      </c>
      <c r="R187" s="32">
        <f>IF(P187&lt;&gt;0,S186,0)</f>
        <v>0</v>
      </c>
      <c r="S187" s="32">
        <f>IF(Q187&gt;0,IF(C203&gt;=C180,J180,IF(AND(C203&gt;B180,C203&lt;C180),J180,0)),0)</f>
        <v>0</v>
      </c>
      <c r="T187" s="30">
        <f t="shared" si="12"/>
        <v>0</v>
      </c>
      <c r="V187" s="49">
        <v>4</v>
      </c>
      <c r="W187" s="50">
        <f>IF(J204&gt;J180,X186,0)</f>
        <v>0</v>
      </c>
      <c r="X187" s="50">
        <f>IF(J204&gt;J180,J204,IF(AND(J204&gt;J180,J204&lt;J180),J204,0))</f>
        <v>0</v>
      </c>
      <c r="Y187" s="32">
        <f>IF(W187=Q180,S180,IF(X186&gt;0,D180,0))</f>
        <v>0</v>
      </c>
      <c r="Z187" s="32"/>
      <c r="AA187" s="30">
        <f t="shared" si="13"/>
        <v>0</v>
      </c>
    </row>
    <row r="188" spans="1:27" ht="15.75" thickBot="1" x14ac:dyDescent="0.3">
      <c r="A188" s="40"/>
      <c r="B188" s="36"/>
      <c r="C188" s="36"/>
      <c r="D188" s="51"/>
      <c r="E188" s="51"/>
      <c r="F188" s="52">
        <f>SUM(F184:F187)</f>
        <v>1000</v>
      </c>
      <c r="G188" s="53"/>
      <c r="H188" s="40"/>
      <c r="I188" s="36"/>
      <c r="J188" s="36"/>
      <c r="K188" s="51"/>
      <c r="L188" s="51"/>
      <c r="M188" s="52">
        <f>SUM(M184:M187)</f>
        <v>1562.5</v>
      </c>
      <c r="O188" s="54"/>
      <c r="P188" s="55"/>
      <c r="Q188" s="55"/>
      <c r="R188" s="55"/>
      <c r="S188" s="55"/>
      <c r="T188" s="52">
        <f>SUM(T184:T187)</f>
        <v>1322.5</v>
      </c>
      <c r="V188" s="54"/>
      <c r="W188" s="55"/>
      <c r="X188" s="55"/>
      <c r="Y188" s="55"/>
      <c r="Z188" s="55"/>
      <c r="AA188" s="52">
        <f>SUM(AA184:AA187)</f>
        <v>-747.5</v>
      </c>
    </row>
    <row r="189" spans="1:27" ht="15.75" thickBot="1" x14ac:dyDescent="0.3"/>
    <row r="190" spans="1:27" ht="15.75" thickBot="1" x14ac:dyDescent="0.3">
      <c r="A190" s="56" t="s">
        <v>19</v>
      </c>
      <c r="B190" s="57"/>
      <c r="C190" s="57"/>
      <c r="D190" s="57"/>
      <c r="E190" s="58"/>
      <c r="F190" s="9" t="s">
        <v>20</v>
      </c>
      <c r="G190" s="10"/>
      <c r="H190" s="10"/>
      <c r="I190" s="10"/>
      <c r="J190" s="9"/>
      <c r="K190" s="59"/>
      <c r="L190" s="60"/>
      <c r="M190" s="61" t="s">
        <v>21</v>
      </c>
      <c r="N190" s="62"/>
      <c r="O190" s="62"/>
      <c r="P190" s="62"/>
      <c r="Q190" s="61"/>
      <c r="R190" s="63"/>
      <c r="S190" s="64"/>
      <c r="T190" s="61" t="s">
        <v>22</v>
      </c>
      <c r="U190" s="62"/>
      <c r="V190" s="62"/>
      <c r="W190" s="62"/>
      <c r="X190" s="177"/>
    </row>
    <row r="191" spans="1:27" ht="15.75" thickBot="1" x14ac:dyDescent="0.3">
      <c r="A191" s="65" t="s">
        <v>23</v>
      </c>
      <c r="B191" s="66"/>
      <c r="C191" s="67"/>
      <c r="D191" s="67"/>
      <c r="E191" s="68"/>
      <c r="F191" s="9" t="s">
        <v>24</v>
      </c>
      <c r="G191" s="10"/>
      <c r="H191" s="10"/>
      <c r="I191" s="9"/>
      <c r="J191" s="69" t="s">
        <v>25</v>
      </c>
      <c r="K191" s="70"/>
      <c r="L191" s="71"/>
      <c r="M191" s="61" t="s">
        <v>24</v>
      </c>
      <c r="N191" s="62"/>
      <c r="O191" s="62"/>
      <c r="P191" s="61"/>
      <c r="Q191" s="62" t="s">
        <v>25</v>
      </c>
      <c r="R191" s="72"/>
      <c r="S191" s="73"/>
      <c r="T191" s="61" t="s">
        <v>24</v>
      </c>
      <c r="U191" s="62"/>
      <c r="V191" s="62"/>
      <c r="W191" s="61"/>
      <c r="X191" s="72" t="s">
        <v>25</v>
      </c>
    </row>
    <row r="192" spans="1:27" x14ac:dyDescent="0.25">
      <c r="A192" s="74" t="s">
        <v>9</v>
      </c>
      <c r="B192" s="75"/>
      <c r="C192" s="76">
        <v>50</v>
      </c>
      <c r="D192" s="77"/>
      <c r="F192" s="78" t="s">
        <v>26</v>
      </c>
      <c r="G192" s="79"/>
      <c r="H192" s="79"/>
      <c r="I192" s="79"/>
      <c r="J192" s="24">
        <f>C192*C193</f>
        <v>1000</v>
      </c>
      <c r="K192" s="80"/>
      <c r="L192" s="81"/>
      <c r="M192" s="82"/>
      <c r="N192" s="83"/>
      <c r="O192" s="83"/>
      <c r="P192" s="83"/>
      <c r="Q192" s="84"/>
      <c r="R192" s="85"/>
      <c r="S192" s="81"/>
      <c r="T192" s="82"/>
      <c r="U192" s="83"/>
      <c r="V192" s="83"/>
      <c r="W192" s="83"/>
      <c r="X192" s="178"/>
    </row>
    <row r="193" spans="1:29" x14ac:dyDescent="0.25">
      <c r="A193" s="86" t="s">
        <v>27</v>
      </c>
      <c r="B193" s="87"/>
      <c r="C193" s="88">
        <v>20</v>
      </c>
      <c r="D193" s="89"/>
      <c r="F193" s="90" t="str">
        <f>" "</f>
        <v xml:space="preserve"> </v>
      </c>
      <c r="G193" s="91"/>
      <c r="H193" s="91"/>
      <c r="I193" s="91"/>
      <c r="J193" s="32"/>
      <c r="K193" s="92"/>
      <c r="L193" s="81"/>
      <c r="M193" s="101" t="s">
        <v>36</v>
      </c>
      <c r="N193" s="94"/>
      <c r="O193" s="94"/>
      <c r="P193" s="94"/>
      <c r="Q193" s="95">
        <f>MAX(MAX(C202-AA188/(C204-C201),0)*(C204-C201),0)</f>
        <v>0</v>
      </c>
      <c r="R193" s="96"/>
      <c r="S193" s="97"/>
      <c r="T193" s="93" t="s">
        <v>28</v>
      </c>
      <c r="U193" s="94"/>
      <c r="V193" s="94"/>
      <c r="W193" s="94"/>
      <c r="X193" s="179">
        <f>J192</f>
        <v>1000</v>
      </c>
    </row>
    <row r="194" spans="1:29" x14ac:dyDescent="0.25">
      <c r="A194" s="86" t="s">
        <v>29</v>
      </c>
      <c r="B194" s="87"/>
      <c r="C194" s="88">
        <v>0</v>
      </c>
      <c r="D194" s="89"/>
      <c r="F194" s="99" t="str">
        <f>"DA Incremental Cost @ "&amp;C192&amp;" MW"</f>
        <v>DA Incremental Cost @ 50 MW</v>
      </c>
      <c r="G194" s="100"/>
      <c r="H194" s="100"/>
      <c r="I194" s="100"/>
      <c r="J194" s="32">
        <f>F188</f>
        <v>1000</v>
      </c>
      <c r="K194" s="92"/>
      <c r="L194" s="81"/>
      <c r="M194" s="101"/>
      <c r="N194" s="102"/>
      <c r="O194" s="102"/>
      <c r="P194" s="102"/>
      <c r="Q194" s="95"/>
      <c r="R194" s="96"/>
      <c r="S194" s="81"/>
      <c r="T194" s="101"/>
      <c r="U194" s="102"/>
      <c r="V194" s="102"/>
      <c r="W194" s="102"/>
      <c r="X194" s="179"/>
    </row>
    <row r="195" spans="1:29" x14ac:dyDescent="0.25">
      <c r="A195" s="86" t="s">
        <v>30</v>
      </c>
      <c r="B195" s="87"/>
      <c r="C195" s="88">
        <v>0</v>
      </c>
      <c r="D195" s="89"/>
      <c r="E195" s="103"/>
      <c r="F195" s="99" t="s">
        <v>31</v>
      </c>
      <c r="G195" s="100"/>
      <c r="H195" s="100"/>
      <c r="I195" s="100"/>
      <c r="J195" s="32">
        <f>C195</f>
        <v>0</v>
      </c>
      <c r="K195" s="92"/>
      <c r="L195" s="81"/>
      <c r="M195" s="93"/>
      <c r="N195" s="94"/>
      <c r="O195" s="94"/>
      <c r="P195" s="94"/>
      <c r="Q195" s="95"/>
      <c r="R195" s="96"/>
      <c r="S195" s="81"/>
      <c r="T195" s="93" t="s">
        <v>32</v>
      </c>
      <c r="U195" s="94"/>
      <c r="V195" s="94"/>
      <c r="W195" s="94"/>
      <c r="X195" s="179">
        <f>Q210</f>
        <v>375</v>
      </c>
    </row>
    <row r="196" spans="1:29" x14ac:dyDescent="0.25">
      <c r="A196" s="104" t="s">
        <v>33</v>
      </c>
      <c r="B196" s="105"/>
      <c r="C196" s="106">
        <v>50</v>
      </c>
      <c r="D196" s="107"/>
      <c r="F196" s="99" t="s">
        <v>34</v>
      </c>
      <c r="G196" s="100"/>
      <c r="H196" s="100"/>
      <c r="I196" s="100"/>
      <c r="J196" s="32">
        <f>C194</f>
        <v>0</v>
      </c>
      <c r="K196" s="92"/>
      <c r="L196" s="81"/>
      <c r="M196" s="101"/>
      <c r="N196" s="102"/>
      <c r="O196" s="102"/>
      <c r="P196" s="102"/>
      <c r="Q196" s="95"/>
      <c r="R196" s="96"/>
      <c r="S196" s="97"/>
      <c r="T196" s="101"/>
      <c r="U196" s="102"/>
      <c r="V196" s="102"/>
      <c r="W196" s="102"/>
      <c r="X196" s="179"/>
    </row>
    <row r="197" spans="1:29" ht="15.75" thickBot="1" x14ac:dyDescent="0.3">
      <c r="A197" s="108" t="s">
        <v>35</v>
      </c>
      <c r="B197" s="109"/>
      <c r="C197" s="110">
        <v>100</v>
      </c>
      <c r="D197" s="111"/>
      <c r="F197" s="90" t="str">
        <f>" "</f>
        <v xml:space="preserve"> </v>
      </c>
      <c r="G197" s="91"/>
      <c r="H197" s="91"/>
      <c r="I197" s="91"/>
      <c r="J197" s="32"/>
      <c r="K197" s="92"/>
      <c r="L197" s="81"/>
      <c r="M197" s="112"/>
      <c r="N197" s="94"/>
      <c r="O197" s="94"/>
      <c r="P197" s="94"/>
      <c r="Q197" s="95"/>
      <c r="R197" s="96"/>
      <c r="S197" s="81"/>
      <c r="T197" s="112" t="s">
        <v>36</v>
      </c>
      <c r="U197" s="94"/>
      <c r="V197" s="94"/>
      <c r="W197" s="94"/>
      <c r="X197" s="180">
        <f>Q200</f>
        <v>0</v>
      </c>
    </row>
    <row r="198" spans="1:29" x14ac:dyDescent="0.25">
      <c r="C198" s="103"/>
      <c r="D198" s="103"/>
      <c r="F198" s="99" t="s">
        <v>37</v>
      </c>
      <c r="G198" s="100"/>
      <c r="H198" s="100"/>
      <c r="I198" s="100"/>
      <c r="J198" s="115">
        <f>J192-J194-J195-J196</f>
        <v>0</v>
      </c>
      <c r="K198" s="116"/>
      <c r="L198" s="98"/>
      <c r="M198" s="101"/>
      <c r="N198" s="102"/>
      <c r="O198" s="102"/>
      <c r="P198" s="102"/>
      <c r="Q198" s="117"/>
      <c r="R198" s="118"/>
      <c r="S198" s="97"/>
      <c r="T198" s="101"/>
      <c r="U198" s="102"/>
      <c r="V198" s="102"/>
      <c r="W198" s="102"/>
      <c r="X198" s="179"/>
    </row>
    <row r="199" spans="1:29" ht="15.75" thickBot="1" x14ac:dyDescent="0.3">
      <c r="A199" s="56" t="s">
        <v>19</v>
      </c>
      <c r="B199" s="57"/>
      <c r="C199" s="57"/>
      <c r="D199" s="57"/>
      <c r="E199" s="57"/>
      <c r="F199" s="90" t="str">
        <f>" "</f>
        <v xml:space="preserve"> </v>
      </c>
      <c r="G199" s="91"/>
      <c r="H199" s="91"/>
      <c r="I199" s="91"/>
      <c r="J199" s="32"/>
      <c r="K199" s="92"/>
      <c r="L199" s="81"/>
      <c r="M199" s="112"/>
      <c r="N199" s="94"/>
      <c r="O199" s="94"/>
      <c r="P199" s="94"/>
      <c r="Q199" s="95"/>
      <c r="R199" s="96"/>
      <c r="S199" s="81"/>
      <c r="T199" s="112"/>
      <c r="U199" s="94"/>
      <c r="V199" s="94"/>
      <c r="W199" s="94"/>
      <c r="X199" s="179"/>
    </row>
    <row r="200" spans="1:29" ht="15.75" thickBot="1" x14ac:dyDescent="0.3">
      <c r="A200" s="65" t="s">
        <v>38</v>
      </c>
      <c r="B200" s="119"/>
      <c r="C200" s="120"/>
      <c r="D200" s="120"/>
      <c r="E200" s="103"/>
      <c r="F200" s="99" t="s">
        <v>39</v>
      </c>
      <c r="G200" s="100"/>
      <c r="H200" s="100"/>
      <c r="I200" s="100"/>
      <c r="J200" s="121">
        <f>MAX(J198*-1,0)</f>
        <v>0</v>
      </c>
      <c r="K200" s="122"/>
      <c r="L200" s="98"/>
      <c r="M200" s="101" t="s">
        <v>36</v>
      </c>
      <c r="N200" s="102"/>
      <c r="O200" s="102"/>
      <c r="P200" s="102"/>
      <c r="Q200" s="123">
        <f>Q193</f>
        <v>0</v>
      </c>
      <c r="R200" s="124"/>
      <c r="S200" s="97"/>
      <c r="T200" s="101" t="s">
        <v>40</v>
      </c>
      <c r="U200" s="102"/>
      <c r="V200" s="102"/>
      <c r="W200" s="102"/>
      <c r="X200" s="181">
        <f>X193+X195+X197-X199</f>
        <v>1375</v>
      </c>
    </row>
    <row r="201" spans="1:29" ht="16.5" thickTop="1" thickBot="1" x14ac:dyDescent="0.3">
      <c r="A201" s="125" t="s">
        <v>41</v>
      </c>
      <c r="B201" s="126"/>
      <c r="C201" s="127">
        <v>75</v>
      </c>
      <c r="D201" s="48"/>
      <c r="F201" s="128" t="str">
        <f>" "</f>
        <v xml:space="preserve"> </v>
      </c>
      <c r="G201" s="129"/>
      <c r="H201" s="129"/>
      <c r="I201" s="129"/>
      <c r="J201" s="39"/>
      <c r="K201" s="130"/>
      <c r="L201" s="81"/>
      <c r="M201" s="131" t="str">
        <f>" "</f>
        <v xml:space="preserve"> </v>
      </c>
      <c r="N201" s="132"/>
      <c r="O201" s="132"/>
      <c r="P201" s="132"/>
      <c r="Q201" s="133"/>
      <c r="R201" s="134"/>
      <c r="S201" s="81"/>
      <c r="T201" s="131" t="str">
        <f>" "</f>
        <v xml:space="preserve"> </v>
      </c>
      <c r="U201" s="132"/>
      <c r="V201" s="132"/>
      <c r="W201" s="132"/>
      <c r="X201" s="182"/>
    </row>
    <row r="202" spans="1:29" x14ac:dyDescent="0.25">
      <c r="A202" s="28" t="s">
        <v>27</v>
      </c>
      <c r="B202" s="135"/>
      <c r="C202" s="32">
        <v>15</v>
      </c>
      <c r="D202" s="136"/>
      <c r="F202" s="137"/>
      <c r="G202" s="138"/>
      <c r="H202" s="138"/>
      <c r="I202" s="138"/>
      <c r="J202" s="98"/>
      <c r="K202" s="81"/>
      <c r="L202" s="81"/>
      <c r="M202" s="81"/>
      <c r="N202" s="81"/>
      <c r="O202" s="81"/>
      <c r="P202" s="81"/>
      <c r="Q202" s="98"/>
      <c r="R202" s="81"/>
      <c r="S202" s="81"/>
      <c r="T202" s="81"/>
      <c r="U202" s="81"/>
    </row>
    <row r="203" spans="1:29" ht="15.75" thickBot="1" x14ac:dyDescent="0.3">
      <c r="A203" s="91" t="s">
        <v>42</v>
      </c>
      <c r="B203" s="126"/>
      <c r="C203" s="127">
        <v>65</v>
      </c>
      <c r="D203" s="48"/>
      <c r="F203" s="139" t="s">
        <v>60</v>
      </c>
      <c r="G203" s="139"/>
      <c r="H203" s="139"/>
      <c r="I203" s="139"/>
      <c r="J203" s="139"/>
      <c r="K203" s="139"/>
      <c r="L203" s="140"/>
      <c r="M203" s="141" t="s">
        <v>43</v>
      </c>
      <c r="N203" s="141"/>
      <c r="O203" s="141"/>
      <c r="P203" s="141"/>
      <c r="Q203" s="57"/>
      <c r="R203" s="57"/>
      <c r="T203" s="141"/>
      <c r="U203" s="141"/>
      <c r="V203" s="141"/>
      <c r="W203" s="141"/>
      <c r="X203" s="126"/>
      <c r="Y203" s="126"/>
      <c r="AA203" s="29"/>
      <c r="AB203" s="141"/>
      <c r="AC203" s="141"/>
    </row>
    <row r="204" spans="1:29" ht="15.75" thickBot="1" x14ac:dyDescent="0.3">
      <c r="A204" s="91" t="s">
        <v>62</v>
      </c>
      <c r="B204" s="126"/>
      <c r="C204" s="127">
        <v>0</v>
      </c>
      <c r="D204" s="48"/>
      <c r="F204" s="9" t="s">
        <v>44</v>
      </c>
      <c r="G204" s="10"/>
      <c r="H204" s="10"/>
      <c r="I204" s="10"/>
      <c r="J204" s="11"/>
      <c r="K204" s="11"/>
      <c r="L204" s="73"/>
      <c r="M204" s="9" t="s">
        <v>45</v>
      </c>
      <c r="N204" s="10"/>
      <c r="O204" s="10"/>
      <c r="P204" s="10"/>
      <c r="Q204" s="11"/>
      <c r="R204" s="11"/>
      <c r="T204" s="61" t="s">
        <v>46</v>
      </c>
      <c r="U204" s="62"/>
      <c r="V204" s="62"/>
      <c r="W204" s="62"/>
      <c r="X204" s="61"/>
      <c r="Y204" s="63"/>
    </row>
    <row r="205" spans="1:29" ht="15.75" thickBot="1" x14ac:dyDescent="0.3">
      <c r="A205" s="28" t="s">
        <v>29</v>
      </c>
      <c r="B205" s="29"/>
      <c r="C205" s="32">
        <v>0</v>
      </c>
      <c r="D205" s="136"/>
      <c r="F205" s="128" t="s">
        <v>24</v>
      </c>
      <c r="G205" s="129"/>
      <c r="H205" s="9"/>
      <c r="I205" s="10"/>
      <c r="J205" s="70" t="s">
        <v>25</v>
      </c>
      <c r="K205" s="70"/>
      <c r="L205" s="81"/>
      <c r="M205" s="128" t="s">
        <v>24</v>
      </c>
      <c r="N205" s="129"/>
      <c r="O205" s="9"/>
      <c r="P205" s="10"/>
      <c r="Q205" s="70" t="s">
        <v>25</v>
      </c>
      <c r="R205" s="70"/>
      <c r="T205" s="61" t="s">
        <v>24</v>
      </c>
      <c r="U205" s="62"/>
      <c r="V205" s="62"/>
      <c r="W205" s="61"/>
      <c r="X205" s="62" t="s">
        <v>25</v>
      </c>
      <c r="Y205" s="72"/>
    </row>
    <row r="206" spans="1:29" x14ac:dyDescent="0.25">
      <c r="A206" s="142" t="s">
        <v>30</v>
      </c>
      <c r="B206" s="29"/>
      <c r="C206" s="32">
        <v>0</v>
      </c>
      <c r="D206" s="136"/>
      <c r="F206" s="143" t="s">
        <v>26</v>
      </c>
      <c r="G206" s="144"/>
      <c r="H206" s="144"/>
      <c r="I206" s="144"/>
      <c r="J206" s="24">
        <f>J192</f>
        <v>1000</v>
      </c>
      <c r="K206" s="145"/>
      <c r="L206" s="97"/>
      <c r="M206" s="143" t="s">
        <v>26</v>
      </c>
      <c r="N206" s="144"/>
      <c r="O206" s="144"/>
      <c r="P206" s="144"/>
      <c r="Q206" s="24">
        <f>J192</f>
        <v>1000</v>
      </c>
      <c r="R206" s="145"/>
      <c r="T206" s="82"/>
      <c r="U206" s="83"/>
      <c r="V206" s="83"/>
      <c r="W206" s="83"/>
      <c r="X206" s="84"/>
      <c r="Y206" s="85"/>
    </row>
    <row r="207" spans="1:29" x14ac:dyDescent="0.25">
      <c r="A207" s="90" t="s">
        <v>47</v>
      </c>
      <c r="B207" s="126"/>
      <c r="C207" s="127">
        <v>50</v>
      </c>
      <c r="D207" s="48"/>
      <c r="F207" s="90" t="str">
        <f>" "</f>
        <v xml:space="preserve"> </v>
      </c>
      <c r="G207" s="91"/>
      <c r="H207" s="91"/>
      <c r="I207" s="91"/>
      <c r="J207" s="32"/>
      <c r="K207" s="146"/>
      <c r="L207" s="81"/>
      <c r="M207" s="90" t="str">
        <f>" "</f>
        <v xml:space="preserve"> </v>
      </c>
      <c r="N207" s="91"/>
      <c r="O207" s="91"/>
      <c r="P207" s="91"/>
      <c r="Q207" s="32"/>
      <c r="R207" s="146"/>
      <c r="T207" s="93" t="s">
        <v>40</v>
      </c>
      <c r="U207" s="94"/>
      <c r="V207" s="94"/>
      <c r="W207" s="94"/>
      <c r="X207" s="95">
        <f>X200</f>
        <v>1375</v>
      </c>
      <c r="Y207" s="96"/>
    </row>
    <row r="208" spans="1:29" ht="15.75" thickBot="1" x14ac:dyDescent="0.3">
      <c r="A208" s="128" t="s">
        <v>48</v>
      </c>
      <c r="B208" s="147"/>
      <c r="C208" s="148">
        <v>100</v>
      </c>
      <c r="D208" s="149"/>
      <c r="F208" s="99" t="s">
        <v>39</v>
      </c>
      <c r="G208" s="100"/>
      <c r="H208" s="100"/>
      <c r="I208" s="100"/>
      <c r="J208" s="32">
        <f>J200</f>
        <v>0</v>
      </c>
      <c r="K208" s="146"/>
      <c r="L208" s="97"/>
      <c r="M208" s="99" t="s">
        <v>39</v>
      </c>
      <c r="N208" s="100"/>
      <c r="O208" s="100"/>
      <c r="P208" s="100"/>
      <c r="Q208" s="32">
        <f>J200</f>
        <v>0</v>
      </c>
      <c r="R208" s="146"/>
      <c r="T208" s="101"/>
      <c r="U208" s="102"/>
      <c r="V208" s="102"/>
      <c r="W208" s="102"/>
      <c r="X208" s="95"/>
      <c r="Y208" s="96"/>
    </row>
    <row r="209" spans="1:25" x14ac:dyDescent="0.25">
      <c r="F209" s="90" t="str">
        <f>" "</f>
        <v xml:space="preserve"> </v>
      </c>
      <c r="G209" s="91"/>
      <c r="H209" s="91"/>
      <c r="I209" s="91"/>
      <c r="J209" s="32"/>
      <c r="K209" s="146"/>
      <c r="L209" s="71"/>
      <c r="M209" s="90" t="str">
        <f>" "</f>
        <v xml:space="preserve"> </v>
      </c>
      <c r="N209" s="91"/>
      <c r="O209" s="91"/>
      <c r="P209" s="91"/>
      <c r="Q209" s="32"/>
      <c r="R209" s="146"/>
      <c r="T209" s="93" t="str">
        <f>"RT Incremental Cost @ "&amp;C201&amp;" MW"</f>
        <v>RT Incremental Cost @ 75 MW</v>
      </c>
      <c r="U209" s="94"/>
      <c r="V209" s="94"/>
      <c r="W209" s="94"/>
      <c r="X209" s="95">
        <f>Q213</f>
        <v>1562.5</v>
      </c>
      <c r="Y209" s="96"/>
    </row>
    <row r="210" spans="1:25" ht="30" x14ac:dyDescent="0.25">
      <c r="F210" s="99" t="s">
        <v>49</v>
      </c>
      <c r="G210" s="100"/>
      <c r="H210" s="100"/>
      <c r="I210" s="100"/>
      <c r="J210" s="32">
        <f>(C203-C192)*C202</f>
        <v>225</v>
      </c>
      <c r="K210" s="146"/>
      <c r="L210" s="97"/>
      <c r="M210" s="99" t="s">
        <v>50</v>
      </c>
      <c r="N210" s="100"/>
      <c r="O210" s="100"/>
      <c r="P210" s="100"/>
      <c r="Q210" s="32">
        <f>(C201-C192)*C202</f>
        <v>375</v>
      </c>
      <c r="R210" s="146"/>
      <c r="T210" s="101" t="s">
        <v>51</v>
      </c>
      <c r="U210" s="102"/>
      <c r="V210" s="102"/>
      <c r="W210" s="102"/>
      <c r="X210" s="95">
        <f>Q214</f>
        <v>0</v>
      </c>
      <c r="Y210" s="96"/>
    </row>
    <row r="211" spans="1:25" x14ac:dyDescent="0.25">
      <c r="A211" s="150"/>
      <c r="B211" s="151"/>
      <c r="C211" s="57"/>
      <c r="D211" s="57"/>
      <c r="F211" s="90" t="str">
        <f>"Company Responsible Losses @ "&amp;IF(AND(C208&lt;C197,C192&gt;0),MAX(C192-MAX(C208,C204),0),0)&amp;" MW"</f>
        <v>Company Responsible Losses @ 0 MW</v>
      </c>
      <c r="G211" s="91"/>
      <c r="H211" s="91"/>
      <c r="I211" s="91"/>
      <c r="J211" s="32">
        <f>IF(AND(C208&lt;C197,C192&gt;0),MAX(C192-MAX(C204,C208),0)*MIN(C193-C202,0),0)</f>
        <v>0</v>
      </c>
      <c r="K211" s="146"/>
      <c r="L211" s="152"/>
      <c r="M211" s="90" t="str">
        <f>" "</f>
        <v xml:space="preserve"> </v>
      </c>
      <c r="N211" s="91"/>
      <c r="O211" s="91"/>
      <c r="P211" s="91"/>
      <c r="Q211" s="32"/>
      <c r="R211" s="146"/>
      <c r="T211" s="93" t="s">
        <v>52</v>
      </c>
      <c r="U211" s="94"/>
      <c r="V211" s="94"/>
      <c r="W211" s="94"/>
      <c r="X211" s="113">
        <f>Q215</f>
        <v>0</v>
      </c>
      <c r="Y211" s="114"/>
    </row>
    <row r="212" spans="1:25" x14ac:dyDescent="0.25">
      <c r="A212" s="150"/>
      <c r="B212" s="151"/>
      <c r="C212" s="57"/>
      <c r="D212" s="57"/>
      <c r="F212" s="153" t="s">
        <v>36</v>
      </c>
      <c r="G212" s="154"/>
      <c r="H212" s="154"/>
      <c r="I212" s="154"/>
      <c r="J212" s="175">
        <f>Q193</f>
        <v>0</v>
      </c>
      <c r="K212" s="176"/>
      <c r="L212" s="152"/>
      <c r="M212" s="153" t="s">
        <v>36</v>
      </c>
      <c r="N212" s="154"/>
      <c r="O212" s="154"/>
      <c r="P212" s="154"/>
      <c r="Q212" s="175">
        <f>Q193</f>
        <v>0</v>
      </c>
      <c r="R212" s="176"/>
      <c r="T212" s="93"/>
      <c r="U212" s="94"/>
      <c r="V212" s="94"/>
      <c r="W212" s="94"/>
      <c r="X212" s="113"/>
      <c r="Y212" s="114"/>
    </row>
    <row r="213" spans="1:25" x14ac:dyDescent="0.25">
      <c r="A213" s="156"/>
      <c r="B213" s="151"/>
      <c r="C213" s="57"/>
      <c r="D213" s="57"/>
      <c r="F213" s="99" t="str">
        <f>"RT Incremental Cost @ "&amp;C203&amp;" MW"</f>
        <v>RT Incremental Cost @ 65 MW</v>
      </c>
      <c r="G213" s="100"/>
      <c r="H213" s="100"/>
      <c r="I213" s="100"/>
      <c r="J213" s="32">
        <f>T188</f>
        <v>1322.5</v>
      </c>
      <c r="K213" s="146"/>
      <c r="L213" s="97"/>
      <c r="M213" s="99" t="str">
        <f>"RT Incremental Cost @ "&amp;C201&amp;" MW"</f>
        <v>RT Incremental Cost @ 75 MW</v>
      </c>
      <c r="N213" s="100"/>
      <c r="O213" s="100"/>
      <c r="P213" s="100"/>
      <c r="Q213" s="32">
        <f>M188</f>
        <v>1562.5</v>
      </c>
      <c r="R213" s="146"/>
      <c r="T213" s="101"/>
      <c r="U213" s="102"/>
      <c r="V213" s="102"/>
      <c r="W213" s="102"/>
      <c r="X213" s="95"/>
      <c r="Y213" s="96"/>
    </row>
    <row r="214" spans="1:25" x14ac:dyDescent="0.25">
      <c r="A214" s="157"/>
      <c r="C214" s="173"/>
      <c r="D214" s="57"/>
      <c r="F214" s="99" t="s">
        <v>51</v>
      </c>
      <c r="G214" s="100"/>
      <c r="H214" s="100"/>
      <c r="I214" s="100"/>
      <c r="J214" s="32">
        <f>C206</f>
        <v>0</v>
      </c>
      <c r="K214" s="146"/>
      <c r="L214" s="81"/>
      <c r="M214" s="99" t="s">
        <v>51</v>
      </c>
      <c r="N214" s="100"/>
      <c r="O214" s="100"/>
      <c r="P214" s="100"/>
      <c r="Q214" s="32">
        <f>C206</f>
        <v>0</v>
      </c>
      <c r="R214" s="146"/>
      <c r="T214" s="93" t="s">
        <v>53</v>
      </c>
      <c r="U214" s="94"/>
      <c r="V214" s="94"/>
      <c r="W214" s="94"/>
      <c r="X214" s="95">
        <f>X207-X209-X210-X211</f>
        <v>-187.5</v>
      </c>
      <c r="Y214" s="96"/>
    </row>
    <row r="215" spans="1:25" x14ac:dyDescent="0.25">
      <c r="A215" s="157"/>
      <c r="B215" s="158"/>
      <c r="C215" s="57"/>
      <c r="D215" s="57"/>
      <c r="E215" s="159"/>
      <c r="F215" s="99" t="s">
        <v>52</v>
      </c>
      <c r="G215" s="100"/>
      <c r="H215" s="100"/>
      <c r="I215" s="100"/>
      <c r="J215" s="32">
        <f>C205</f>
        <v>0</v>
      </c>
      <c r="K215" s="146"/>
      <c r="L215" s="81"/>
      <c r="M215" s="99" t="s">
        <v>52</v>
      </c>
      <c r="N215" s="100"/>
      <c r="O215" s="100"/>
      <c r="P215" s="100"/>
      <c r="Q215" s="32">
        <f>C205</f>
        <v>0</v>
      </c>
      <c r="R215" s="146"/>
      <c r="T215" s="101"/>
      <c r="U215" s="102"/>
      <c r="V215" s="102"/>
      <c r="W215" s="102"/>
      <c r="X215" s="95"/>
      <c r="Y215" s="96"/>
    </row>
    <row r="216" spans="1:25" ht="15.75" thickBot="1" x14ac:dyDescent="0.3">
      <c r="A216" s="157"/>
      <c r="B216" s="158"/>
      <c r="C216" s="57"/>
      <c r="D216" s="57"/>
      <c r="F216" s="90" t="str">
        <f>" "</f>
        <v xml:space="preserve"> </v>
      </c>
      <c r="G216" s="91"/>
      <c r="H216" s="91"/>
      <c r="I216" s="91"/>
      <c r="J216" s="32"/>
      <c r="K216" s="146"/>
      <c r="M216" s="90" t="str">
        <f>" "</f>
        <v xml:space="preserve"> </v>
      </c>
      <c r="N216" s="91"/>
      <c r="O216" s="91"/>
      <c r="P216" s="91"/>
      <c r="Q216" s="32"/>
      <c r="R216" s="146"/>
      <c r="T216" s="131" t="str">
        <f>" "</f>
        <v xml:space="preserve"> </v>
      </c>
      <c r="U216" s="132"/>
      <c r="V216" s="132"/>
      <c r="W216" s="132"/>
      <c r="X216" s="133"/>
      <c r="Y216" s="134"/>
    </row>
    <row r="217" spans="1:25" x14ac:dyDescent="0.25">
      <c r="A217" s="157"/>
      <c r="B217" s="158"/>
      <c r="C217" s="57"/>
      <c r="D217" s="57"/>
      <c r="F217" s="99" t="s">
        <v>54</v>
      </c>
      <c r="G217" s="100"/>
      <c r="H217" s="100"/>
      <c r="I217" s="100"/>
      <c r="J217" s="115">
        <f>J206+J210+Q200-J213-J214-J215</f>
        <v>-97.5</v>
      </c>
      <c r="K217" s="160"/>
      <c r="M217" s="161" t="s">
        <v>54</v>
      </c>
      <c r="N217" s="162"/>
      <c r="O217" s="162"/>
      <c r="P217" s="162"/>
      <c r="Q217" s="115">
        <f>Q206+Q210+Q212-Q213-Q214-Q215</f>
        <v>-187.5</v>
      </c>
      <c r="R217" s="160"/>
      <c r="T217" s="162"/>
      <c r="U217" s="162"/>
    </row>
    <row r="218" spans="1:25" x14ac:dyDescent="0.25">
      <c r="A218" s="157"/>
      <c r="C218" s="57"/>
      <c r="D218" s="57"/>
      <c r="F218" s="90" t="str">
        <f>" "</f>
        <v xml:space="preserve"> </v>
      </c>
      <c r="G218" s="91"/>
      <c r="H218" s="91"/>
      <c r="I218" s="91"/>
      <c r="J218" s="32"/>
      <c r="K218" s="146"/>
      <c r="M218" s="90" t="str">
        <f>" "</f>
        <v xml:space="preserve"> </v>
      </c>
      <c r="N218" s="91"/>
      <c r="O218" s="91"/>
      <c r="P218" s="91"/>
      <c r="Q218" s="32"/>
      <c r="R218" s="146"/>
      <c r="T218" s="91"/>
      <c r="U218" s="91"/>
    </row>
    <row r="219" spans="1:25" ht="15.75" thickBot="1" x14ac:dyDescent="0.3">
      <c r="F219" s="99" t="s">
        <v>55</v>
      </c>
      <c r="G219" s="100"/>
      <c r="H219" s="100"/>
      <c r="I219" s="100"/>
      <c r="J219" s="121">
        <f>MAX(MAX(J217*-1,0)-J208,0)</f>
        <v>97.5</v>
      </c>
      <c r="K219" s="163"/>
      <c r="M219" s="161" t="s">
        <v>55</v>
      </c>
      <c r="N219" s="162"/>
      <c r="O219" s="162"/>
      <c r="P219" s="162"/>
      <c r="Q219" s="121">
        <f>MAX(MAX(Q217*-1,0)-Q208,0)</f>
        <v>187.5</v>
      </c>
      <c r="R219" s="163"/>
      <c r="T219" s="162"/>
      <c r="U219" s="162"/>
      <c r="W219" s="158"/>
    </row>
    <row r="220" spans="1:25" ht="16.5" thickTop="1" thickBot="1" x14ac:dyDescent="0.3">
      <c r="F220" s="128" t="str">
        <f>" "</f>
        <v xml:space="preserve"> </v>
      </c>
      <c r="G220" s="129"/>
      <c r="H220" s="129"/>
      <c r="I220" s="129"/>
      <c r="J220" s="39"/>
      <c r="K220" s="164"/>
      <c r="L220" s="29"/>
      <c r="M220" s="128" t="str">
        <f>" "</f>
        <v xml:space="preserve"> </v>
      </c>
      <c r="N220" s="129"/>
      <c r="O220" s="129"/>
      <c r="P220" s="129"/>
      <c r="Q220" s="39"/>
      <c r="R220" s="165"/>
      <c r="S220" s="29"/>
      <c r="T220" s="91"/>
      <c r="U220" s="91"/>
      <c r="X220" s="158"/>
    </row>
    <row r="221" spans="1:25" x14ac:dyDescent="0.25">
      <c r="E221" s="166"/>
      <c r="F221" s="166"/>
      <c r="G221" s="166"/>
      <c r="H221" s="166"/>
      <c r="I221" s="166"/>
      <c r="K221" s="167"/>
      <c r="L221" s="167"/>
      <c r="M221" s="167"/>
      <c r="N221" s="167"/>
      <c r="O221" s="167"/>
      <c r="Q221" s="167"/>
      <c r="R221" s="167"/>
      <c r="S221" s="167"/>
      <c r="T221" s="167"/>
      <c r="U221" s="167"/>
    </row>
    <row r="222" spans="1:25" x14ac:dyDescent="0.25">
      <c r="E222" s="58"/>
      <c r="F222" s="58"/>
      <c r="G222" s="58"/>
      <c r="H222" s="58"/>
      <c r="I222" s="58"/>
      <c r="K222" s="58"/>
      <c r="L222" s="58"/>
      <c r="M222" s="58"/>
      <c r="N222" s="58"/>
      <c r="O222" s="58"/>
      <c r="Q222" s="58"/>
      <c r="R222" s="58"/>
      <c r="S222" s="58"/>
      <c r="T222" s="58"/>
      <c r="U222" s="58"/>
    </row>
    <row r="223" spans="1:25" x14ac:dyDescent="0.25">
      <c r="L223" s="168"/>
      <c r="U223" s="158"/>
    </row>
    <row r="224" spans="1:25" x14ac:dyDescent="0.25">
      <c r="H224" s="57"/>
      <c r="I224" s="169" t="s">
        <v>56</v>
      </c>
      <c r="J224" s="170"/>
      <c r="K224" s="57"/>
      <c r="L224" s="57"/>
    </row>
    <row r="225" spans="8:18" x14ac:dyDescent="0.25">
      <c r="H225" s="157" t="s">
        <v>57</v>
      </c>
      <c r="I225" s="57" t="s">
        <v>58</v>
      </c>
      <c r="J225" s="57"/>
      <c r="K225" s="57"/>
      <c r="L225" s="57"/>
      <c r="M225" s="103">
        <f>MIN(J219,Q219)</f>
        <v>97.5</v>
      </c>
      <c r="O225" s="171"/>
    </row>
    <row r="226" spans="8:18" ht="30" x14ac:dyDescent="0.25">
      <c r="I226" s="172" t="s">
        <v>59</v>
      </c>
      <c r="J226" s="172"/>
      <c r="K226" s="172"/>
      <c r="L226" s="172"/>
      <c r="M226" s="172"/>
      <c r="N226" s="172"/>
      <c r="O226" s="172"/>
      <c r="P226" s="172"/>
      <c r="Q226" s="57"/>
      <c r="R226" s="57"/>
    </row>
  </sheetData>
  <mergeCells count="3">
    <mergeCell ref="A5:X5"/>
    <mergeCell ref="A89:X89"/>
    <mergeCell ref="A174:X174"/>
  </mergeCells>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Examples</vt:lpstr>
    </vt:vector>
  </TitlesOfParts>
  <Company>PJM Interconnection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Weathers, Brian</dc:creator>
  <cp:lastModifiedBy>Weathers, Brian</cp:lastModifiedBy>
  <dcterms:created xsi:type="dcterms:W3CDTF">2024-05-03T15:45:22Z</dcterms:created>
  <dcterms:modified xsi:type="dcterms:W3CDTF">2024-05-08T13:39:44Z</dcterms:modified>
</cp:coreProperties>
</file>