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8" yWindow="96" windowWidth="16728" windowHeight="15708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C303" i="1" l="1"/>
  <c r="C302" i="1"/>
  <c r="E19" i="68" l="1"/>
  <c r="E46" i="68" l="1"/>
  <c r="E16" i="68"/>
  <c r="D26" i="19"/>
  <c r="E21" i="68" l="1"/>
  <c r="E219" i="1"/>
  <c r="E149" i="1"/>
  <c r="E83" i="1"/>
  <c r="E78" i="1"/>
  <c r="G33" i="50"/>
  <c r="D33" i="9" l="1"/>
  <c r="D24" i="9"/>
  <c r="E34" i="20"/>
  <c r="E31" i="20"/>
  <c r="E48" i="68" l="1"/>
  <c r="E18" i="68"/>
  <c r="C57" i="68" l="1"/>
  <c r="D45" i="67" l="1"/>
  <c r="E52" i="68" l="1"/>
  <c r="O50" i="67" l="1"/>
  <c r="O49" i="67"/>
  <c r="D51" i="67"/>
  <c r="E51" i="67"/>
  <c r="F51" i="67"/>
  <c r="G51" i="67"/>
  <c r="H51" i="67"/>
  <c r="I51" i="67"/>
  <c r="J51" i="67"/>
  <c r="K51" i="67"/>
  <c r="L51" i="67"/>
  <c r="M51" i="67"/>
  <c r="N51" i="67"/>
  <c r="C51" i="67"/>
  <c r="O51" i="67" l="1"/>
  <c r="P50" i="67"/>
  <c r="C31" i="67" l="1"/>
  <c r="O41" i="67" l="1"/>
  <c r="P41" i="67" s="1"/>
  <c r="E45" i="67"/>
  <c r="E47" i="67" s="1"/>
  <c r="E53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C45" i="67"/>
  <c r="O44" i="67"/>
  <c r="P44" i="67" s="1"/>
  <c r="O43" i="67"/>
  <c r="P43" i="67" s="1"/>
  <c r="D10" i="67" l="1"/>
  <c r="D47" i="67"/>
  <c r="D53" i="67" s="1"/>
  <c r="C10" i="67"/>
  <c r="C47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C53" i="67" l="1"/>
  <c r="O47" i="67"/>
  <c r="P47" i="67" s="1"/>
  <c r="N31" i="67" l="1"/>
  <c r="N33" i="67" s="1"/>
  <c r="N35" i="67" s="1"/>
  <c r="M31" i="67"/>
  <c r="M33" i="67" s="1"/>
  <c r="M35" i="67" s="1"/>
  <c r="L31" i="67"/>
  <c r="L33" i="67" s="1"/>
  <c r="L35" i="67" s="1"/>
  <c r="K31" i="67"/>
  <c r="K33" i="67" s="1"/>
  <c r="K35" i="67" s="1"/>
  <c r="J31" i="67"/>
  <c r="J33" i="67" s="1"/>
  <c r="J35" i="67" s="1"/>
  <c r="I31" i="67"/>
  <c r="I33" i="67" s="1"/>
  <c r="I35" i="67" s="1"/>
  <c r="H31" i="67"/>
  <c r="H33" i="67" s="1"/>
  <c r="H35" i="67" s="1"/>
  <c r="G31" i="67"/>
  <c r="G33" i="67" s="1"/>
  <c r="G35" i="67" s="1"/>
  <c r="F31" i="67"/>
  <c r="F33" i="67" s="1"/>
  <c r="F35" i="67" s="1"/>
  <c r="E31" i="67"/>
  <c r="E33" i="67" s="1"/>
  <c r="E35" i="67" s="1"/>
  <c r="D31" i="67"/>
  <c r="D33" i="67" s="1"/>
  <c r="D35" i="67" s="1"/>
  <c r="C33" i="67"/>
  <c r="C35" i="67" s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B39" i="67" l="1"/>
  <c r="H76" i="68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O17" i="67"/>
  <c r="P17" i="67" s="1"/>
  <c r="O15" i="67"/>
  <c r="P15" i="67" s="1"/>
  <c r="A14" i="67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O10" i="67"/>
  <c r="C16" i="66"/>
  <c r="E15" i="66" s="1"/>
  <c r="G15" i="66" s="1"/>
  <c r="P10" i="67" l="1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sharedStrings.xml><?xml version="1.0" encoding="utf-8"?>
<sst xmlns="http://schemas.openxmlformats.org/spreadsheetml/2006/main" count="903" uniqueCount="646">
  <si>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</si>
  <si>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</si>
  <si>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</si>
  <si>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</si>
  <si>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</si>
  <si>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</si>
  <si>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</si>
  <si>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</si>
  <si>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</si>
  <si>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</si>
  <si>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</si>
  <si>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</si>
  <si>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</si>
  <si>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</si>
  <si>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</si>
  <si>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</si>
  <si>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</si>
  <si>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</si>
  <si>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</si>
  <si>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</si>
  <si>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</si>
  <si>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</si>
  <si>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</si>
  <si>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</si>
  <si>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</si>
  <si>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</si>
  <si>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</si>
  <si>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</si>
  <si>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</si>
  <si>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</si>
  <si>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</si>
  <si>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</si>
  <si>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</si>
  <si>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</si>
  <si>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</si>
  <si>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</si>
  <si>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</si>
  <si>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</si>
  <si>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</si>
  <si>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</si>
  <si>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</si>
  <si>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</si>
  <si>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</si>
  <si>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</si>
  <si>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</si>
  <si>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</si>
  <si>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</si>
  <si>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</si>
  <si>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</si>
  <si>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</si>
  <si>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</si>
  <si>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</si>
  <si>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</si>
  <si>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</si>
  <si>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</si>
  <si>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</si>
  <si>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</si>
  <si>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</si>
  <si>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</si>
  <si>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</si>
  <si>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</si>
  <si>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</si>
  <si>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</si>
  <si>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</si>
  <si>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</si>
  <si>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</si>
  <si>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</si>
  <si>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</si>
  <si>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</si>
  <si>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</si>
  <si>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</si>
  <si>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</si>
  <si>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</si>
  <si>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</si>
  <si>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</si>
  <si>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</si>
  <si>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</si>
  <si>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</si>
  <si>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</si>
  <si>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</si>
  <si>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</si>
  <si>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</si>
  <si>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</si>
  <si>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</si>
  <si>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</si>
  <si>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</si>
  <si>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</si>
  <si>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</si>
  <si>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</si>
  <si>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</si>
  <si>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</si>
  <si>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</si>
  <si>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</si>
  <si>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</si>
  <si>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</si>
  <si>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</si>
  <si>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</si>
  <si>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</si>
  <si>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</si>
  <si>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</si>
  <si>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</si>
  <si>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</si>
  <si>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</si>
  <si>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</si>
  <si>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</si>
  <si>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</si>
  <si>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</si>
  <si>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</si>
  <si>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</si>
  <si>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</si>
  <si>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</si>
  <si>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</si>
  <si>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</si>
  <si>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</si>
  <si>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</si>
  <si>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</si>
  <si>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</si>
  <si>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</si>
  <si>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</si>
  <si>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</si>
  <si>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</si>
  <si>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</si>
  <si>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</si>
  <si>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</si>
  <si>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</si>
  <si>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</si>
  <si>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</si>
  <si>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</si>
  <si>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</si>
  <si>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</si>
  <si>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</si>
  <si>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</si>
  <si>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</si>
  <si>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</si>
  <si>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</si>
  <si>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</si>
  <si>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</si>
  <si>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</si>
  <si>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</si>
  <si>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</si>
  <si>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</si>
  <si>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</si>
  <si>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</si>
  <si>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</si>
  <si>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</si>
  <si>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</si>
  <si>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</si>
  <si>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</si>
  <si>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</si>
  <si>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</si>
  <si>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</si>
  <si>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</si>
  <si>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</si>
  <si>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</si>
  <si>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</si>
  <si>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</si>
  <si>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</si>
  <si>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</si>
  <si>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</si>
  <si>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</si>
  <si>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</si>
  <si>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</si>
  <si>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</si>
  <si>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</si>
  <si>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</si>
  <si>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</si>
  <si>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</si>
  <si>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</si>
  <si>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</si>
  <si>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</si>
  <si>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</si>
  <si>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</si>
  <si>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</si>
  <si>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</si>
  <si>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</si>
  <si>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</si>
  <si>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</si>
  <si>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</si>
  <si>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</si>
  <si>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</si>
  <si>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</si>
  <si>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</si>
  <si>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</si>
  <si>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</si>
  <si>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</si>
  <si>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</si>
  <si>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</si>
  <si>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</si>
  <si>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</si>
  <si>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</si>
  <si>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</si>
  <si>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</si>
  <si>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</si>
  <si>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</si>
  <si>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</si>
  <si>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</si>
  <si>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</si>
  <si>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</si>
  <si>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</si>
  <si>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</si>
  <si>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</si>
  <si>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</si>
  <si>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</si>
  <si>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</si>
  <si>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</si>
  <si>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</si>
  <si>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</si>
  <si>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</si>
  <si>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</si>
  <si>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</si>
  <si>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</si>
  <si>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</si>
  <si>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</si>
  <si>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</si>
  <si>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</si>
  <si>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</si>
  <si>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</si>
  <si>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</si>
  <si>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</si>
  <si>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</si>
  <si>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</si>
  <si>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</si>
  <si>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</si>
  <si>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</si>
  <si>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</si>
  <si>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</si>
  <si>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</si>
  <si>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</si>
  <si>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</si>
  <si>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</si>
  <si>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</si>
  <si>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</si>
  <si>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</si>
  <si>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</si>
  <si>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</si>
  <si>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</si>
  <si>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</si>
  <si>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</si>
  <si>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</si>
  <si>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</si>
  <si>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</si>
  <si>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</si>
  <si>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</si>
  <si>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</si>
  <si>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</si>
  <si>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</si>
  <si>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</si>
  <si>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</si>
  <si>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</si>
  <si>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</si>
  <si>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</si>
  <si>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</si>
  <si>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</si>
  <si>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</si>
  <si>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</si>
  <si>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</si>
  <si>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</si>
  <si>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</si>
  <si>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</si>
  <si>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</si>
  <si>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</si>
  <si>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</si>
  <si>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</si>
  <si>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</si>
  <si>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</si>
  <si>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</si>
  <si>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</si>
  <si>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</si>
  <si>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</si>
  <si>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</si>
  <si>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</si>
  <si>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</si>
  <si>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</si>
  <si>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</si>
  <si>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</si>
  <si>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</si>
  <si>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</si>
  <si>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</si>
  <si>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</si>
  <si>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</si>
  <si>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</si>
  <si>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</si>
  <si>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</si>
  <si>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</si>
  <si>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</si>
  <si>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</si>
  <si>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</si>
  <si>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</si>
  <si>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</si>
  <si>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</si>
  <si>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</si>
  <si>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</si>
  <si>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</si>
  <si>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</si>
  <si>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</si>
  <si>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</si>
  <si>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</si>
  <si>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</si>
  <si>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</si>
  <si>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</si>
  <si>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</si>
  <si>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</si>
  <si>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</si>
  <si>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</si>
  <si>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</si>
  <si>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</si>
  <si>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</si>
  <si>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</si>
  <si>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</si>
  <si>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</si>
  <si>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</si>
  <si>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</si>
  <si>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</si>
  <si>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</si>
  <si>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</si>
  <si>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</si>
  <si>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</si>
  <si>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</si>
  <si>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</si>
  <si>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</si>
  <si>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</si>
  <si>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</si>
  <si>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</si>
  <si>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</si>
  <si>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</si>
  <si>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</si>
  <si>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</si>
  <si>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</si>
  <si>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</si>
  <si>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</si>
  <si>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</si>
  <si>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</si>
  <si>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</si>
  <si>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</si>
  <si>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</si>
  <si>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</si>
  <si>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</si>
  <si>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</si>
  <si>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</si>
  <si>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</si>
  <si>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</si>
  <si>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</si>
  <si>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</si>
  <si>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</si>
  <si>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</si>
  <si>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</si>
  <si>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</si>
  <si>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</si>
  <si>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</si>
  <si>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</si>
  <si>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</si>
  <si>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</si>
  <si>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</si>
  <si>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</si>
  <si>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</si>
  <si>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</si>
  <si>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</si>
  <si>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</si>
  <si>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</si>
  <si>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</si>
  <si>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</si>
  <si>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</si>
  <si>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</si>
  <si>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</si>
  <si>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</si>
  <si>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</si>
  <si>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</si>
  <si>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</si>
  <si>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</si>
  <si>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</si>
  <si>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</si>
  <si>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</si>
  <si>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</si>
  <si>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</si>
  <si>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</si>
  <si>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</si>
  <si>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</si>
  <si>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</si>
  <si>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</si>
  <si>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</si>
  <si>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</si>
  <si>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</si>
  <si>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</si>
  <si>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</si>
  <si>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</si>
  <si>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</si>
  <si>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</si>
  <si>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</si>
  <si>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</si>
  <si>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</si>
  <si>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</si>
  <si>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</si>
  <si>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</si>
  <si>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</si>
  <si>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</si>
  <si>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</si>
  <si>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</si>
  <si>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</si>
  <si>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</si>
  <si>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</si>
  <si>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</si>
  <si>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</si>
  <si>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</si>
  <si>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</si>
  <si>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</si>
  <si>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</si>
  <si>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</si>
  <si>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</si>
  <si>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</si>
  <si>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</si>
  <si>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</si>
  <si>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</si>
  <si>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</si>
  <si>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</si>
  <si>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</si>
  <si>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</si>
  <si>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</si>
  <si>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</si>
  <si>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</si>
  <si>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</si>
  <si>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</si>
  <si>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</si>
  <si>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</si>
  <si>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</si>
  <si>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</si>
  <si>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</si>
  <si>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</si>
  <si>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</si>
  <si>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</si>
  <si>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</si>
  <si>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</si>
  <si>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</si>
  <si>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</si>
  <si>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</si>
  <si>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</si>
  <si>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</si>
  <si>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</si>
  <si>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</si>
  <si>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</si>
  <si>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</si>
  <si>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</si>
  <si>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</si>
  <si>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</si>
  <si>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</si>
  <si>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</si>
  <si>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</si>
  <si>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</si>
  <si>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</si>
  <si>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</si>
  <si>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</si>
  <si>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</si>
  <si>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</si>
  <si>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</si>
  <si>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</si>
  <si>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</si>
  <si>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</si>
  <si>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</si>
  <si>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</si>
  <si>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</si>
  <si>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</si>
  <si>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</si>
  <si>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</si>
  <si>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</si>
  <si>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</si>
  <si>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</si>
  <si>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</si>
  <si>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</si>
  <si>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</si>
  <si>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</si>
  <si>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</si>
  <si>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</si>
  <si>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</si>
  <si>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</si>
  <si>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</si>
  <si>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</si>
  <si>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</si>
  <si>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</si>
  <si>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</si>
  <si>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</si>
  <si>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</si>
  <si>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</si>
  <si>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</si>
  <si>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</si>
  <si>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</si>
  <si>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</si>
  <si>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</si>
  <si>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</si>
  <si>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</si>
  <si>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</si>
  <si>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</si>
  <si>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</si>
  <si>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</si>
  <si>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</si>
  <si>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</si>
  <si>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</si>
  <si>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</si>
  <si>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</si>
  <si>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</si>
  <si>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</si>
  <si>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</si>
  <si>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</si>
  <si>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</si>
  <si>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</si>
  <si>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</si>
  <si>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</si>
  <si>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</si>
  <si>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</si>
  <si>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</si>
  <si>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</si>
  <si>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</si>
  <si>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</si>
  <si>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</si>
  <si>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</si>
  <si>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</si>
  <si>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</si>
  <si>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</si>
  <si>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</si>
  <si>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</si>
  <si>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</si>
  <si>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</si>
  <si>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</si>
  <si>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</si>
  <si>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</si>
  <si>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</si>
  <si>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</si>
  <si>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</si>
  <si>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</si>
  <si>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</si>
  <si>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</si>
  <si>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</si>
  <si>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</si>
  <si>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</si>
  <si>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</si>
  <si>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</si>
  <si>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</si>
  <si>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</si>
  <si>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</si>
  <si>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</si>
  <si>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</si>
  <si>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</si>
  <si>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</si>
  <si>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</si>
  <si>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</si>
  <si>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</si>
  <si>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</si>
  <si>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</si>
  <si>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</si>
  <si>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</si>
  <si>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</si>
  <si>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</si>
  <si>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</si>
  <si>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</si>
  <si>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</si>
  <si>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</si>
  <si>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</si>
  <si>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</si>
  <si>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</si>
  <si>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</si>
  <si>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</si>
  <si>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</si>
  <si>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</si>
  <si>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</si>
  <si>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</si>
  <si>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</si>
  <si>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</si>
  <si>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</si>
  <si>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</si>
  <si>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</si>
  <si>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</si>
  <si>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</si>
  <si>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</si>
  <si>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</si>
  <si>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</si>
  <si>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</si>
  <si>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</si>
  <si>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</si>
  <si>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</si>
  <si>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</si>
  <si>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</si>
  <si>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</si>
  <si>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</si>
  <si>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</si>
  <si>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</si>
  <si>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</si>
  <si>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</si>
  <si>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</si>
  <si>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</si>
  <si>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</si>
  <si>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</si>
  <si>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</si>
  <si>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</si>
  <si>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</si>
  <si>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</si>
  <si>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</si>
  <si>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</si>
  <si>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</si>
  <si>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</si>
  <si>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</si>
  <si>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</si>
  <si>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</si>
  <si>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</si>
  <si>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</si>
  <si>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</si>
  <si>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</si>
  <si>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</si>
  <si>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</si>
  <si>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</si>
  <si>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</si>
  <si>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</si>
  <si>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</si>
  <si>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</si>
  <si>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</si>
  <si>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</si>
  <si>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</si>
  <si>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</si>
  <si>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</si>
  <si>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</si>
  <si>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</si>
  <si>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</si>
  <si>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</si>
  <si>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</si>
  <si>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</si>
  <si>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</si>
  <si>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</si>
  <si>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</si>
  <si>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</si>
  <si>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</si>
  <si>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</si>
  <si>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</si>
  <si>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</si>
  <si>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</si>
  <si>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</si>
  <si>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</si>
  <si>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</si>
  <si>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</si>
  <si>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</si>
  <si>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</si>
  <si>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</si>
  <si>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</si>
  <si>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</si>
  <si>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For the 12 months ended 12/31/2017</t>
  </si>
  <si>
    <t>Utilizing EKPC 2017 Form FF1 Data (ver. FINAL - AUDITED)</t>
  </si>
  <si>
    <t>For Rates Effective January 1, 2017</t>
  </si>
  <si>
    <t>2017 Requirements Sales for Resale</t>
  </si>
  <si>
    <t>Actual Transmission Revenue Requirement for 12 Months Ended 12/31/2017 including True Up for 12 months ended 12/31/2016 (1)</t>
  </si>
  <si>
    <t>Actual Schedule 1-A Costs for 12 Months Ended 12/31/2017 including True Up for 12 months ended 12/31/2016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</si>
</sst>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b/>
      <i/>
      <sz val="12"/>
      <color rgb="FFFF0000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44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43" fontId="12" fillId="0" borderId="0" xfId="1" applyFont="1" applyFill="1" applyAlignment="1"/>
    <xf numFmtId="173" fontId="122" fillId="0" borderId="0" xfId="0" quotePrefix="1" applyFont="1" applyAlignment="1"/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42" fontId="32" fillId="0" borderId="0" xfId="0" applyNumberFormat="1" applyFont="1" applyFill="1" applyBorder="1" applyAlignment="1"/>
    <xf numFmtId="42" fontId="32" fillId="0" borderId="0" xfId="7" applyNumberFormat="1" applyFont="1" applyFill="1"/>
    <xf numFmtId="37" fontId="32" fillId="0" borderId="0" xfId="7" applyNumberFormat="1" applyFont="1" applyFill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43" fontId="32" fillId="0" borderId="0" xfId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0" xfId="89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173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Alignment="1" applyProtection="1">
      <protection locked="0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FF00"/>
      <color rgb="FFFF3300"/>
      <color rgb="FF0000FF"/>
      <color rgb="FFFFFF99"/>
      <color rgb="FF66FFFF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AC313"/>
  <sheetViews>
    <sheetView showGridLines="0" tabSelected="1" zoomScale="70" zoomScaleNormal="70" zoomScaleSheetLayoutView="70" workbookViewId="0">
      <selection activeCell="C3" sqref="C3"/>
    </sheetView>
  </sheetViews>
  <sheetFormatPr defaultColWidth="8.81640625" defaultRowHeight="15"/>
  <cols>
    <col min="1" max="1" width="6.1796875" style="191" bestFit="1" customWidth="1"/>
    <col min="2" max="2" width="1.453125" style="191" customWidth="1"/>
    <col min="3" max="3" width="62.81640625" style="191" customWidth="1"/>
    <col min="4" max="4" width="25.453125" style="191" customWidth="1"/>
    <col min="5" max="5" width="16.08984375" style="191" customWidth="1"/>
    <col min="6" max="6" width="12" style="191" customWidth="1"/>
    <col min="7" max="7" width="5.6328125" style="191" customWidth="1"/>
    <col min="8" max="8" width="10.6328125" style="191" customWidth="1"/>
    <col min="9" max="9" width="5.81640625" style="191" customWidth="1"/>
    <col min="10" max="10" width="16.36328125" style="191" customWidth="1"/>
    <col min="11" max="11" width="3.453125" style="191" customWidth="1"/>
    <col min="12" max="12" width="11.6328125" style="191" customWidth="1"/>
    <col min="13" max="13" width="1.90625" style="191" customWidth="1"/>
    <col min="14" max="14" width="16.6328125" style="191" customWidth="1"/>
    <col min="15" max="15" width="12.90625" style="191" customWidth="1"/>
    <col min="16" max="16" width="16.81640625" style="191" customWidth="1"/>
    <col min="17" max="17" width="20.81640625" style="191" customWidth="1"/>
    <col min="18" max="19" width="9.81640625" style="191" customWidth="1"/>
    <col min="20" max="16384" width="8.81640625" style="191"/>
  </cols>
  <sheetData>
    <row r="1" spans="1:16" ht="17.399999999999999">
      <c r="A1" s="190"/>
      <c r="C1" s="192"/>
      <c r="D1" s="192"/>
      <c r="E1" s="193"/>
      <c r="F1" s="192"/>
      <c r="G1" s="192"/>
      <c r="H1" s="192"/>
      <c r="I1" s="194"/>
      <c r="J1" s="506" t="s">
        <v>565</v>
      </c>
      <c r="K1" s="222"/>
      <c r="L1" s="566"/>
      <c r="M1" s="583"/>
      <c r="N1" s="571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439</v>
      </c>
      <c r="L2" s="566"/>
      <c r="M2" s="584"/>
      <c r="N2" s="571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66"/>
      <c r="M3" s="584"/>
      <c r="N3" s="571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66"/>
      <c r="M4" s="584"/>
      <c r="N4" s="571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66"/>
      <c r="M5" s="584"/>
      <c r="N5" s="571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66"/>
      <c r="M6" s="571"/>
      <c r="N6" s="741"/>
      <c r="O6" s="196"/>
      <c r="P6" s="196"/>
    </row>
    <row r="7" spans="1:16">
      <c r="C7" s="192" t="s">
        <v>4</v>
      </c>
      <c r="D7" s="192"/>
      <c r="E7" s="193"/>
      <c r="F7" s="192"/>
      <c r="G7" s="192"/>
      <c r="H7" s="590"/>
      <c r="I7" s="588"/>
      <c r="J7" s="767" t="s">
        <v>640</v>
      </c>
      <c r="K7" s="196"/>
      <c r="L7" s="566"/>
      <c r="M7" s="571"/>
      <c r="N7" s="571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8"/>
      <c r="M8" s="571"/>
      <c r="N8" s="571"/>
      <c r="O8" s="196"/>
      <c r="P8" s="196"/>
    </row>
    <row r="9" spans="1:16">
      <c r="A9" s="768" t="s">
        <v>641</v>
      </c>
      <c r="B9" s="578"/>
      <c r="C9" s="415"/>
      <c r="D9" s="416"/>
      <c r="E9" s="578"/>
      <c r="F9" s="416"/>
      <c r="G9" s="416"/>
      <c r="H9" s="416"/>
      <c r="I9" s="415"/>
      <c r="J9" s="415"/>
      <c r="K9" s="196"/>
      <c r="L9" s="563"/>
      <c r="M9" s="571"/>
      <c r="N9" s="571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3"/>
      <c r="M10" s="571"/>
      <c r="N10" s="571"/>
      <c r="O10" s="196"/>
      <c r="P10" s="196"/>
    </row>
    <row r="11" spans="1:16" ht="15.6">
      <c r="A11" s="474" t="s">
        <v>526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3"/>
      <c r="M11" s="571"/>
      <c r="N11" s="571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71"/>
      <c r="M12" s="571"/>
      <c r="N12" s="571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71"/>
      <c r="M13" s="571"/>
      <c r="N13" s="571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71"/>
      <c r="M14" s="571"/>
      <c r="N14" s="571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78089603.880285546</v>
      </c>
      <c r="K15" s="196"/>
      <c r="L15" s="571"/>
      <c r="M15" s="571"/>
      <c r="N15" s="571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71"/>
      <c r="M16" s="571"/>
      <c r="N16" s="571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71"/>
      <c r="M17" s="571"/>
      <c r="N17" s="571"/>
      <c r="O17" s="196"/>
      <c r="P17" s="196"/>
    </row>
    <row r="18" spans="1:17" ht="15.6" thickBot="1">
      <c r="A18" s="201" t="s">
        <v>5</v>
      </c>
      <c r="C18" s="208" t="s">
        <v>522</v>
      </c>
      <c r="D18" s="456" t="s">
        <v>494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71"/>
      <c r="M18" s="571"/>
      <c r="N18" s="571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159299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159299</v>
      </c>
      <c r="K19" s="196"/>
      <c r="L19" s="571"/>
      <c r="M19" s="571"/>
      <c r="N19" s="571"/>
      <c r="O19" s="196"/>
      <c r="P19" s="196"/>
    </row>
    <row r="20" spans="1:17">
      <c r="A20" s="201">
        <v>3</v>
      </c>
      <c r="C20" s="445" t="s">
        <v>523</v>
      </c>
      <c r="D20" s="210" t="s">
        <v>249</v>
      </c>
      <c r="E20" s="322">
        <f>J256</f>
        <v>245893.0299999984</v>
      </c>
      <c r="F20" s="213"/>
      <c r="G20" s="213" t="str">
        <f>G$19</f>
        <v>TP</v>
      </c>
      <c r="H20" s="214">
        <f t="shared" ref="H20:H22" si="0">J$202</f>
        <v>0.97095474678410032</v>
      </c>
      <c r="I20" s="213"/>
      <c r="J20" s="215">
        <f>H20*E20</f>
        <v>238751.00467962364</v>
      </c>
      <c r="K20" s="305"/>
      <c r="L20" s="571"/>
      <c r="M20" s="571"/>
      <c r="N20" s="571"/>
      <c r="O20" s="196"/>
      <c r="P20" s="196"/>
    </row>
    <row r="21" spans="1:17" ht="15.6">
      <c r="A21" s="319">
        <v>4</v>
      </c>
      <c r="B21" s="2"/>
      <c r="C21" s="445" t="s">
        <v>524</v>
      </c>
      <c r="D21" s="462" t="s">
        <v>495</v>
      </c>
      <c r="E21" s="322">
        <f>'Pg 6 of 8 Rev Cred Support'!E44</f>
        <v>126610.5</v>
      </c>
      <c r="F21" s="320"/>
      <c r="G21" s="320" t="str">
        <f t="shared" ref="G21:G23" si="1">G$19</f>
        <v>TP</v>
      </c>
      <c r="H21" s="321">
        <f t="shared" si="0"/>
        <v>0.97095474678410032</v>
      </c>
      <c r="I21" s="320"/>
      <c r="J21" s="322">
        <f>H21*E21</f>
        <v>122933.06596770833</v>
      </c>
      <c r="K21" s="196"/>
      <c r="L21" s="527"/>
      <c r="M21" s="571"/>
      <c r="N21" s="571"/>
      <c r="P21" s="196"/>
    </row>
    <row r="22" spans="1:17">
      <c r="A22" s="201">
        <v>5</v>
      </c>
      <c r="C22" s="310" t="s">
        <v>352</v>
      </c>
      <c r="D22" s="260"/>
      <c r="E22" s="720">
        <v>0</v>
      </c>
      <c r="F22" s="213"/>
      <c r="G22" s="213" t="str">
        <f t="shared" si="1"/>
        <v>TP</v>
      </c>
      <c r="H22" s="214">
        <f t="shared" si="0"/>
        <v>0.97095474678410032</v>
      </c>
      <c r="I22" s="213"/>
      <c r="J22" s="236">
        <f t="shared" ref="J22" si="2">H22*E22</f>
        <v>0</v>
      </c>
      <c r="K22" s="196"/>
      <c r="L22" s="571"/>
      <c r="M22" s="571"/>
      <c r="N22" s="571"/>
      <c r="P22" s="196"/>
    </row>
    <row r="23" spans="1:17">
      <c r="A23" s="201" t="s">
        <v>130</v>
      </c>
      <c r="C23" s="1" t="s">
        <v>405</v>
      </c>
      <c r="D23" s="260"/>
      <c r="E23" s="575">
        <f>'Appx B - RTEP'!X86</f>
        <v>0</v>
      </c>
      <c r="F23" s="213"/>
      <c r="G23" s="213" t="str">
        <f t="shared" si="1"/>
        <v>TP</v>
      </c>
      <c r="H23" s="214">
        <f t="shared" ref="H23" si="3">J$202</f>
        <v>0.97095474678410032</v>
      </c>
      <c r="I23" s="213"/>
      <c r="J23" s="323">
        <f>E23*H23</f>
        <v>0</v>
      </c>
      <c r="K23" s="196"/>
      <c r="L23" s="571"/>
      <c r="M23" s="571"/>
      <c r="N23" s="571"/>
      <c r="P23" s="196"/>
    </row>
    <row r="24" spans="1:17">
      <c r="A24" s="201">
        <v>6</v>
      </c>
      <c r="C24" s="212" t="s">
        <v>319</v>
      </c>
      <c r="D24" s="276"/>
      <c r="E24" s="216" t="s">
        <v>5</v>
      </c>
      <c r="F24" s="210"/>
      <c r="G24" s="210"/>
      <c r="H24" s="214"/>
      <c r="I24" s="210"/>
      <c r="J24" s="213">
        <f>SUM(J19:J22)</f>
        <v>520983.070647332</v>
      </c>
      <c r="K24" s="196"/>
      <c r="L24" s="571"/>
      <c r="M24" s="571"/>
      <c r="N24" s="571"/>
      <c r="P24" s="196"/>
    </row>
    <row r="25" spans="1:17">
      <c r="A25" s="201" t="s">
        <v>416</v>
      </c>
      <c r="C25" s="212" t="s">
        <v>521</v>
      </c>
      <c r="D25" s="276" t="s">
        <v>496</v>
      </c>
      <c r="E25" s="216"/>
      <c r="F25" s="210"/>
      <c r="G25" s="210"/>
      <c r="H25" s="214"/>
      <c r="I25" s="210"/>
      <c r="J25" s="213">
        <v>0</v>
      </c>
      <c r="K25" s="196"/>
      <c r="L25" s="571"/>
      <c r="M25" s="571"/>
      <c r="N25" s="571"/>
      <c r="P25" s="571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71"/>
      <c r="M26" s="571"/>
      <c r="N26" s="571"/>
      <c r="P26" s="196"/>
    </row>
    <row r="27" spans="1:17">
      <c r="A27" s="201"/>
      <c r="C27" s="212"/>
      <c r="D27" s="196"/>
      <c r="J27" s="210"/>
      <c r="K27" s="196"/>
      <c r="L27" s="571"/>
      <c r="M27" s="571"/>
      <c r="N27" s="571"/>
      <c r="P27" s="196"/>
    </row>
    <row r="28" spans="1:17" ht="16.2" thickBot="1">
      <c r="A28" s="201">
        <v>7</v>
      </c>
      <c r="C28" s="212" t="s">
        <v>13</v>
      </c>
      <c r="D28" s="196" t="s">
        <v>417</v>
      </c>
      <c r="E28" s="216" t="s">
        <v>5</v>
      </c>
      <c r="F28" s="210"/>
      <c r="G28" s="210"/>
      <c r="H28" s="210"/>
      <c r="I28" s="210"/>
      <c r="J28" s="740">
        <f>J15-J24+J25</f>
        <v>77568620.809638217</v>
      </c>
      <c r="K28" s="196"/>
      <c r="L28" s="527"/>
      <c r="M28" s="571"/>
      <c r="N28" s="757"/>
      <c r="O28" s="562"/>
      <c r="P28" s="561"/>
      <c r="Q28" s="560"/>
    </row>
    <row r="29" spans="1:17" ht="15.6" thickTop="1">
      <c r="A29" s="201"/>
      <c r="D29" s="196"/>
      <c r="E29" s="216"/>
      <c r="F29" s="210"/>
      <c r="G29" s="210"/>
      <c r="H29" s="210"/>
      <c r="I29" s="210"/>
      <c r="K29" s="196"/>
      <c r="L29" s="571"/>
      <c r="M29" s="571"/>
      <c r="N29" s="571"/>
      <c r="O29" s="566"/>
      <c r="P29" s="561"/>
      <c r="Q29" s="560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71"/>
      <c r="M30" s="571"/>
      <c r="N30" s="571"/>
      <c r="P30" s="196"/>
    </row>
    <row r="31" spans="1:17" ht="15.6">
      <c r="A31" s="201">
        <v>8</v>
      </c>
      <c r="C31" s="303" t="s">
        <v>519</v>
      </c>
      <c r="D31" s="475" t="s">
        <v>497</v>
      </c>
      <c r="E31" s="304"/>
      <c r="F31" s="305"/>
      <c r="G31" s="305"/>
      <c r="H31" s="306"/>
      <c r="I31" s="305"/>
      <c r="J31" s="695">
        <f>MAX('Pg 8 of 8 Peak Load'!C35:N35)</f>
        <v>2870549.8400000003</v>
      </c>
      <c r="K31" s="196"/>
      <c r="L31" s="527"/>
      <c r="M31" s="571"/>
      <c r="N31" s="571"/>
    </row>
    <row r="32" spans="1:17" ht="15.6">
      <c r="A32" s="201">
        <v>9</v>
      </c>
      <c r="C32" s="303" t="s">
        <v>520</v>
      </c>
      <c r="D32" s="475" t="s">
        <v>498</v>
      </c>
      <c r="E32" s="307"/>
      <c r="F32" s="307"/>
      <c r="G32" s="307"/>
      <c r="H32" s="307"/>
      <c r="I32" s="307"/>
      <c r="J32" s="695">
        <f>'Pg 8 of 8 Peak Load'!P35</f>
        <v>2267327</v>
      </c>
      <c r="K32" s="196"/>
      <c r="L32" s="527"/>
      <c r="M32" s="571"/>
      <c r="N32" s="571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624</v>
      </c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6">
      <c r="A40" s="201">
        <v>15</v>
      </c>
      <c r="C40" s="212" t="s">
        <v>229</v>
      </c>
      <c r="D40" s="196" t="s">
        <v>251</v>
      </c>
      <c r="E40" s="218">
        <f>IF(J31&gt;0,J28/J31,9)</f>
        <v>27.022217043142582</v>
      </c>
      <c r="F40" s="207"/>
      <c r="G40" s="207"/>
      <c r="H40" s="207"/>
      <c r="I40" s="207"/>
      <c r="J40" s="528"/>
      <c r="K40" s="505"/>
      <c r="L40" s="505"/>
      <c r="M40" s="305"/>
      <c r="N40"/>
      <c r="O40"/>
      <c r="P40"/>
      <c r="Q40"/>
      <c r="R40"/>
    </row>
    <row r="41" spans="1:18" ht="15.6">
      <c r="A41" s="201"/>
      <c r="C41" s="212"/>
      <c r="D41" s="196"/>
      <c r="E41" s="218"/>
      <c r="F41" s="207"/>
      <c r="G41" s="207"/>
      <c r="H41" s="207"/>
      <c r="I41" s="207"/>
      <c r="J41" s="529"/>
      <c r="K41" s="505"/>
      <c r="L41" s="505"/>
      <c r="M41" s="305"/>
      <c r="N41"/>
      <c r="O41"/>
      <c r="P41"/>
      <c r="Q41"/>
      <c r="R41"/>
    </row>
    <row r="42" spans="1:18" ht="15.6">
      <c r="A42" s="201">
        <v>16</v>
      </c>
      <c r="C42" s="212" t="s">
        <v>281</v>
      </c>
      <c r="D42" s="196" t="s">
        <v>282</v>
      </c>
      <c r="E42" s="218">
        <f>IF(J32&gt;0,J28/J32,9)</f>
        <v>34.211483747001743</v>
      </c>
      <c r="F42" s="207"/>
      <c r="G42" s="345"/>
      <c r="H42" s="207"/>
      <c r="I42" s="207"/>
      <c r="J42" s="529"/>
      <c r="K42" s="505"/>
      <c r="L42" s="505"/>
      <c r="M42" s="305"/>
      <c r="N42"/>
      <c r="O42"/>
      <c r="P42"/>
      <c r="Q42"/>
      <c r="R42"/>
    </row>
    <row r="43" spans="1:18" ht="15.6">
      <c r="A43" s="201"/>
      <c r="C43" s="212"/>
      <c r="D43" s="196"/>
      <c r="E43" s="218"/>
      <c r="F43" s="207"/>
      <c r="G43" s="526"/>
      <c r="H43" s="526"/>
      <c r="I43" s="207"/>
      <c r="J43" s="529"/>
      <c r="K43" s="505"/>
      <c r="L43" s="505"/>
      <c r="M43" s="305"/>
      <c r="N43"/>
      <c r="O43"/>
      <c r="P43"/>
      <c r="Q43"/>
      <c r="R43"/>
    </row>
    <row r="44" spans="1:18" ht="15.6">
      <c r="A44" s="201">
        <v>17</v>
      </c>
      <c r="C44" s="212" t="s">
        <v>283</v>
      </c>
      <c r="D44" s="196" t="s">
        <v>284</v>
      </c>
      <c r="E44" s="621">
        <f>ROUND(E40/12,9)</f>
        <v>2.2518514199999999</v>
      </c>
      <c r="F44" s="207"/>
      <c r="G44" s="526"/>
      <c r="H44" s="526"/>
      <c r="I44" s="207"/>
      <c r="J44" s="528"/>
      <c r="K44" s="505"/>
      <c r="L44" s="505"/>
      <c r="M44" s="305"/>
      <c r="N44"/>
      <c r="O44"/>
      <c r="P44"/>
      <c r="Q44"/>
      <c r="R44"/>
    </row>
    <row r="45" spans="1:18">
      <c r="A45" s="201"/>
      <c r="C45" s="212"/>
      <c r="D45" s="196"/>
      <c r="E45" s="621"/>
      <c r="F45" s="207"/>
      <c r="G45" s="526"/>
      <c r="H45" s="526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21">
        <f>ROUND($E$42/12,9)</f>
        <v>2.8509569789999998</v>
      </c>
      <c r="F46" s="207"/>
      <c r="G46" s="526"/>
      <c r="H46" s="526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07"/>
      <c r="G47" s="526"/>
      <c r="H47" s="526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5" t="s">
        <v>525</v>
      </c>
      <c r="F48" s="220"/>
      <c r="G48" s="220"/>
      <c r="I48" s="207"/>
      <c r="J48" s="455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0.65791314899999997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0.13158263000000001</v>
      </c>
      <c r="F52" s="207" t="s">
        <v>294</v>
      </c>
      <c r="G52" s="207"/>
      <c r="H52" s="207"/>
      <c r="I52" s="207"/>
      <c r="J52" s="218">
        <f>ROUND($E$42/365,9)</f>
        <v>9.3730092000000001E-2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07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5" t="s">
        <v>289</v>
      </c>
      <c r="D54" s="454" t="s">
        <v>292</v>
      </c>
      <c r="E54" s="390">
        <f>ROUND(($J$28/$J$32)/4160*1000,4)</f>
        <v>8.2239000000000004</v>
      </c>
      <c r="F54" s="207" t="s">
        <v>295</v>
      </c>
      <c r="G54" s="207"/>
      <c r="H54" s="207"/>
      <c r="I54" s="207"/>
      <c r="J54" s="218">
        <f>ROUND(($J$28/$J$32)/8760*1000,4)</f>
        <v>3.9054000000000002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90"/>
      <c r="F55" s="207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7.399999999999999">
      <c r="A57" s="190"/>
      <c r="C57" s="192"/>
      <c r="D57" s="192"/>
      <c r="E57" s="346"/>
      <c r="F57" s="192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438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2" t="str">
        <f>J7</f>
        <v>For the 12 months ended 12/31/2017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2017 Form FF1 Data (ver. FINAL - AUDITED)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5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10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6" thickBot="1">
      <c r="A71" s="203" t="s">
        <v>8</v>
      </c>
      <c r="C71" s="242" t="s">
        <v>230</v>
      </c>
      <c r="D71" s="605" t="s">
        <v>23</v>
      </c>
      <c r="E71" s="209" t="s">
        <v>24</v>
      </c>
      <c r="F71" s="245"/>
      <c r="G71" s="211" t="s">
        <v>11</v>
      </c>
      <c r="H71" s="211"/>
      <c r="I71" s="245"/>
      <c r="J71" s="606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465</v>
      </c>
      <c r="E75" s="783">
        <v>3207486012</v>
      </c>
      <c r="F75" s="210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448</v>
      </c>
      <c r="E76" s="720">
        <v>626369672</v>
      </c>
      <c r="F76" s="210"/>
      <c r="G76" s="210" t="s">
        <v>12</v>
      </c>
      <c r="H76" s="230">
        <f>J202</f>
        <v>0.97095474678410032</v>
      </c>
      <c r="I76" s="210"/>
      <c r="J76" s="213">
        <f>ROUND(H76*E76,0)</f>
        <v>608176606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449</v>
      </c>
      <c r="E77" s="720">
        <v>233297229</v>
      </c>
      <c r="F77" s="21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450</v>
      </c>
      <c r="E78" s="720">
        <f>2510454+129830625</f>
        <v>132341079</v>
      </c>
      <c r="F78" s="210"/>
      <c r="G78" s="210" t="s">
        <v>31</v>
      </c>
      <c r="H78" s="230">
        <f>J220</f>
        <v>0.16535656933163348</v>
      </c>
      <c r="I78" s="210"/>
      <c r="J78" s="215">
        <f>ROUND(H78*E78,0)</f>
        <v>21883467</v>
      </c>
      <c r="K78" s="210"/>
      <c r="L78" s="210"/>
      <c r="M78" s="210"/>
      <c r="N78" s="2"/>
      <c r="O78" s="223"/>
      <c r="P78" s="212"/>
    </row>
    <row r="79" spans="1:16" ht="15.6" thickBot="1">
      <c r="A79" s="201">
        <v>5</v>
      </c>
      <c r="C79" s="212" t="s">
        <v>32</v>
      </c>
      <c r="D79" s="307"/>
      <c r="E79" s="537">
        <v>0</v>
      </c>
      <c r="F79" s="210"/>
      <c r="G79" s="210" t="s">
        <v>79</v>
      </c>
      <c r="H79" s="230">
        <f>L225</f>
        <v>0</v>
      </c>
      <c r="I79" s="210"/>
      <c r="J79" s="231">
        <f t="shared" ref="J79" si="4"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4199493992</v>
      </c>
      <c r="F80" s="210"/>
      <c r="G80" s="210" t="s">
        <v>34</v>
      </c>
      <c r="H80" s="232">
        <f>IF(J80&gt;0,J80/E80,0)</f>
        <v>0.15003237871044917</v>
      </c>
      <c r="I80" s="210"/>
      <c r="J80" s="213">
        <f>SUM(J75:J79)</f>
        <v>630060073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3"/>
      <c r="I81" s="210"/>
      <c r="J81" s="215"/>
      <c r="K81" s="210"/>
      <c r="L81" s="233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83">
        <f>912700592+230430091</f>
        <v>1143130683</v>
      </c>
      <c r="F83" s="21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20">
        <v>188663918</v>
      </c>
      <c r="F84" s="210"/>
      <c r="G84" s="210" t="str">
        <f>G76</f>
        <v>TP</v>
      </c>
      <c r="H84" s="230">
        <f>H76</f>
        <v>0.97095474678410032</v>
      </c>
      <c r="I84" s="210"/>
      <c r="J84" s="213">
        <f>ROUND(H84*E84,0)</f>
        <v>183184127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20">
        <v>70706091</v>
      </c>
      <c r="F85" s="210"/>
      <c r="G85" s="210" t="str">
        <f t="shared" ref="G85:H87" si="5">G77</f>
        <v>NA</v>
      </c>
      <c r="H85" s="230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20">
        <v>92831005</v>
      </c>
      <c r="F86" s="210"/>
      <c r="G86" s="210" t="str">
        <f t="shared" si="5"/>
        <v>W/S</v>
      </c>
      <c r="H86" s="230">
        <f t="shared" si="5"/>
        <v>0.16535656933163348</v>
      </c>
      <c r="I86" s="210"/>
      <c r="J86" s="215">
        <f t="shared" ref="J86:J87" si="6">ROUND(H86*E86,0)</f>
        <v>15350217</v>
      </c>
      <c r="K86" s="210"/>
      <c r="L86" s="210"/>
      <c r="M86" s="196"/>
      <c r="N86" s="307"/>
      <c r="O86" s="223"/>
      <c r="P86" s="212"/>
    </row>
    <row r="87" spans="1:16" ht="15.6" thickBot="1">
      <c r="A87" s="201">
        <v>11</v>
      </c>
      <c r="C87" s="212" t="str">
        <f>C79</f>
        <v xml:space="preserve">  Common</v>
      </c>
      <c r="D87" s="307"/>
      <c r="E87" s="537">
        <v>0</v>
      </c>
      <c r="F87" s="210"/>
      <c r="G87" s="210" t="str">
        <f t="shared" si="5"/>
        <v>CE</v>
      </c>
      <c r="H87" s="230">
        <f t="shared" si="5"/>
        <v>0</v>
      </c>
      <c r="I87" s="210"/>
      <c r="J87" s="231">
        <f t="shared" si="6"/>
        <v>0</v>
      </c>
      <c r="K87" s="210"/>
      <c r="L87" s="210"/>
      <c r="M87" s="196"/>
      <c r="N87" s="307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1495331697</v>
      </c>
      <c r="F88" s="210"/>
      <c r="G88" s="210"/>
      <c r="H88" s="210"/>
      <c r="I88" s="210"/>
      <c r="J88" s="213">
        <f>SUM(J83:J87)</f>
        <v>198534344</v>
      </c>
      <c r="K88" s="210"/>
      <c r="L88" s="210"/>
      <c r="M88" s="196"/>
      <c r="N88" s="459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3"/>
      <c r="I89" s="210"/>
      <c r="J89" s="215"/>
      <c r="K89" s="210"/>
      <c r="L89" s="233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2064355329</v>
      </c>
      <c r="F91" s="210"/>
      <c r="G91" s="210"/>
      <c r="H91" s="233"/>
      <c r="I91" s="210"/>
      <c r="J91" s="215" t="s">
        <v>5</v>
      </c>
      <c r="K91" s="210"/>
      <c r="L91" s="233"/>
      <c r="M91" s="196"/>
      <c r="N91" s="307"/>
      <c r="O91" s="210"/>
      <c r="P91" s="212"/>
    </row>
    <row r="92" spans="1:16">
      <c r="A92" s="201">
        <v>14</v>
      </c>
      <c r="C92" s="445" t="s">
        <v>48</v>
      </c>
      <c r="D92" s="210" t="s">
        <v>273</v>
      </c>
      <c r="E92" s="215">
        <f>E76-E84</f>
        <v>437705754</v>
      </c>
      <c r="F92" s="210"/>
      <c r="G92" s="210"/>
      <c r="H92" s="230"/>
      <c r="I92" s="210"/>
      <c r="J92" s="213">
        <f>J76-J84</f>
        <v>424992479</v>
      </c>
      <c r="K92" s="210"/>
      <c r="L92" s="233"/>
      <c r="M92" s="196"/>
      <c r="N92" s="307"/>
      <c r="O92" s="210"/>
      <c r="P92" s="212"/>
    </row>
    <row r="93" spans="1:16" hidden="1">
      <c r="A93" s="201"/>
      <c r="C93" s="424"/>
      <c r="D93" s="210"/>
      <c r="E93" s="215"/>
      <c r="F93" s="210"/>
      <c r="G93" s="210"/>
      <c r="H93" s="230"/>
      <c r="I93" s="210"/>
      <c r="J93" s="213"/>
      <c r="K93" s="210"/>
      <c r="L93" s="233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162591138</v>
      </c>
      <c r="F94" s="210"/>
      <c r="G94" s="210"/>
      <c r="H94" s="233"/>
      <c r="I94" s="210"/>
      <c r="J94" s="215" t="s">
        <v>5</v>
      </c>
      <c r="K94" s="210"/>
      <c r="L94" s="233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39510074</v>
      </c>
      <c r="F95" s="210"/>
      <c r="G95" s="210"/>
      <c r="H95" s="233"/>
      <c r="I95" s="210"/>
      <c r="J95" s="215">
        <f>J78-J86</f>
        <v>6533250</v>
      </c>
      <c r="K95" s="210"/>
      <c r="L95" s="233"/>
      <c r="M95" s="196"/>
      <c r="N95" s="307"/>
      <c r="O95" s="223"/>
      <c r="P95" s="212"/>
    </row>
    <row r="96" spans="1:16" ht="15.6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10"/>
      <c r="G96" s="210"/>
      <c r="H96" s="233"/>
      <c r="I96" s="210"/>
      <c r="J96" s="231">
        <f>J79-J87</f>
        <v>0</v>
      </c>
      <c r="K96" s="210"/>
      <c r="L96" s="233"/>
      <c r="M96" s="196"/>
      <c r="N96" s="307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2704162295</v>
      </c>
      <c r="F97" s="210"/>
      <c r="G97" s="210" t="s">
        <v>42</v>
      </c>
      <c r="H97" s="233">
        <f>IF(J97&gt;0,J97/E97,0)</f>
        <v>0.1595783395833496</v>
      </c>
      <c r="I97" s="210"/>
      <c r="J97" s="213">
        <f>SUM(J91:J96)</f>
        <v>431525729</v>
      </c>
      <c r="K97" s="210"/>
      <c r="L97" s="210"/>
      <c r="M97" s="196"/>
      <c r="N97" s="460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3"/>
      <c r="M98" s="196"/>
      <c r="N98" s="307"/>
      <c r="O98" s="210"/>
      <c r="P98" s="212"/>
    </row>
    <row r="99" spans="1:16">
      <c r="A99" s="201"/>
      <c r="C99" s="446" t="s">
        <v>457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61"/>
      <c r="O99" s="210"/>
      <c r="P99" s="212"/>
    </row>
    <row r="100" spans="1:16">
      <c r="A100" s="201">
        <v>19</v>
      </c>
      <c r="C100" s="212" t="s">
        <v>115</v>
      </c>
      <c r="D100" s="307" t="s">
        <v>451</v>
      </c>
      <c r="E100" s="320">
        <v>0</v>
      </c>
      <c r="F100" s="210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7" t="s">
        <v>452</v>
      </c>
      <c r="E101" s="575">
        <v>0</v>
      </c>
      <c r="F101" s="210"/>
      <c r="G101" s="210" t="s">
        <v>43</v>
      </c>
      <c r="H101" s="230">
        <f>H97</f>
        <v>0.1595783395833496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7" t="s">
        <v>453</v>
      </c>
      <c r="E102" s="575">
        <v>0</v>
      </c>
      <c r="F102" s="210"/>
      <c r="G102" s="210" t="s">
        <v>43</v>
      </c>
      <c r="H102" s="230">
        <f>H101</f>
        <v>0.1595783395833496</v>
      </c>
      <c r="I102" s="210"/>
      <c r="J102" s="215">
        <f t="shared" ref="J102:J104" si="7"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7" t="s">
        <v>454</v>
      </c>
      <c r="E103" s="539">
        <v>0</v>
      </c>
      <c r="F103" s="210"/>
      <c r="G103" s="210" t="str">
        <f>G102</f>
        <v>NP</v>
      </c>
      <c r="H103" s="230">
        <f>H102</f>
        <v>0.1595783395833496</v>
      </c>
      <c r="I103" s="210"/>
      <c r="J103" s="215">
        <f t="shared" si="7"/>
        <v>0</v>
      </c>
      <c r="K103" s="210"/>
      <c r="L103" s="233"/>
      <c r="M103" s="196"/>
      <c r="N103" s="2"/>
      <c r="O103" s="223"/>
      <c r="P103" s="212"/>
    </row>
    <row r="104" spans="1:16" ht="15.6" thickBot="1">
      <c r="A104" s="201">
        <v>23</v>
      </c>
      <c r="C104" s="191" t="s">
        <v>118</v>
      </c>
      <c r="D104" s="2" t="s">
        <v>455</v>
      </c>
      <c r="E104" s="537">
        <v>0</v>
      </c>
      <c r="F104" s="210"/>
      <c r="G104" s="210" t="s">
        <v>43</v>
      </c>
      <c r="H104" s="230">
        <f>H102</f>
        <v>0.1595783395833496</v>
      </c>
      <c r="I104" s="210"/>
      <c r="J104" s="231">
        <f t="shared" si="7"/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9"/>
      <c r="O105" s="210"/>
      <c r="P105" s="212"/>
    </row>
    <row r="106" spans="1:16">
      <c r="A106" s="201"/>
      <c r="D106" s="307"/>
      <c r="E106" s="575"/>
      <c r="F106" s="210"/>
      <c r="G106" s="210"/>
      <c r="H106" s="233"/>
      <c r="I106" s="210"/>
      <c r="J106" s="215"/>
      <c r="K106" s="210"/>
      <c r="L106" s="233"/>
      <c r="M106" s="196"/>
      <c r="N106" s="307"/>
      <c r="O106" s="210"/>
      <c r="P106" s="212"/>
    </row>
    <row r="107" spans="1:16">
      <c r="A107" s="201">
        <v>25</v>
      </c>
      <c r="C107" s="235" t="s">
        <v>518</v>
      </c>
      <c r="D107" s="307" t="s">
        <v>530</v>
      </c>
      <c r="E107" s="320">
        <f>'P 2 of 8 Land Held for Future'!C23</f>
        <v>0</v>
      </c>
      <c r="F107" s="210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75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52" t="s">
        <v>459</v>
      </c>
      <c r="D109" s="210" t="s">
        <v>5</v>
      </c>
      <c r="E109" s="575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5" t="s">
        <v>517</v>
      </c>
      <c r="D110" s="191" t="s">
        <v>531</v>
      </c>
      <c r="E110" s="320">
        <f>ROUND(E145/8,0)</f>
        <v>8910312</v>
      </c>
      <c r="F110" s="210"/>
      <c r="G110" s="210"/>
      <c r="H110" s="233"/>
      <c r="I110" s="210"/>
      <c r="J110" s="215">
        <f>ROUND(J145/8,0)</f>
        <v>4475765</v>
      </c>
      <c r="K110" s="196"/>
      <c r="L110" s="233"/>
      <c r="M110" s="196"/>
      <c r="N110" s="445"/>
      <c r="O110" s="223"/>
      <c r="P110" s="212"/>
    </row>
    <row r="111" spans="1:16">
      <c r="A111" s="201">
        <v>27</v>
      </c>
      <c r="C111" s="452" t="s">
        <v>460</v>
      </c>
      <c r="D111" s="210" t="s">
        <v>456</v>
      </c>
      <c r="E111" s="575">
        <f>'Pg 1 of 8 M&amp;S Alloc'!I16</f>
        <v>23321421</v>
      </c>
      <c r="F111" s="210"/>
      <c r="G111" s="210" t="s">
        <v>44</v>
      </c>
      <c r="H111" s="230">
        <f>J212</f>
        <v>0.91095685508374102</v>
      </c>
      <c r="I111" s="210"/>
      <c r="J111" s="215">
        <f>ROUND(H111*E111,0)</f>
        <v>21244808</v>
      </c>
      <c r="K111" s="210" t="s">
        <v>5</v>
      </c>
      <c r="L111" s="233"/>
      <c r="M111" s="196"/>
      <c r="N111" s="462"/>
      <c r="O111" s="223"/>
    </row>
    <row r="112" spans="1:16" ht="15.6" thickBot="1">
      <c r="A112" s="201">
        <v>28</v>
      </c>
      <c r="C112" s="445" t="s">
        <v>516</v>
      </c>
      <c r="D112" s="210" t="s">
        <v>532</v>
      </c>
      <c r="E112" s="784">
        <v>5826561</v>
      </c>
      <c r="F112" s="210"/>
      <c r="G112" s="210" t="s">
        <v>45</v>
      </c>
      <c r="H112" s="230">
        <f>H80</f>
        <v>0.15003237871044917</v>
      </c>
      <c r="I112" s="210"/>
      <c r="J112" s="231">
        <f>ROUND(H112*E112,0)</f>
        <v>874173</v>
      </c>
      <c r="K112" s="210"/>
      <c r="L112" s="233"/>
      <c r="M112" s="196"/>
      <c r="N112" s="462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38058294</v>
      </c>
      <c r="F113" s="196"/>
      <c r="G113" s="196"/>
      <c r="H113" s="196"/>
      <c r="I113" s="196"/>
      <c r="J113" s="213">
        <f>J110+J111+J112</f>
        <v>26594746</v>
      </c>
      <c r="K113" s="196"/>
      <c r="L113" s="196"/>
      <c r="M113" s="196"/>
      <c r="N113" s="234"/>
      <c r="O113" s="210"/>
      <c r="P113" s="212"/>
    </row>
    <row r="114" spans="1:16" ht="15.6" thickBot="1">
      <c r="D114" s="210"/>
      <c r="E114" s="231"/>
      <c r="F114" s="210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6" thickBot="1">
      <c r="A115" s="201">
        <v>30</v>
      </c>
      <c r="C115" s="212" t="s">
        <v>120</v>
      </c>
      <c r="D115" s="210"/>
      <c r="E115" s="238">
        <f>E113+E107+E105+E97</f>
        <v>2742220589</v>
      </c>
      <c r="F115" s="210"/>
      <c r="G115" s="210"/>
      <c r="H115" s="233"/>
      <c r="I115" s="210"/>
      <c r="J115" s="238">
        <f>J113+J107+J105+J97</f>
        <v>458120475</v>
      </c>
      <c r="K115" s="210"/>
      <c r="L115" s="233"/>
      <c r="M115" s="210"/>
      <c r="N115" s="210"/>
      <c r="O115" s="210"/>
      <c r="P115" s="212"/>
    </row>
    <row r="116" spans="1:16" ht="15.6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7.399999999999999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437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2" t="str">
        <f>J7</f>
        <v>For the 12 months ended 12/31/2017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2017 Form FF1 Data (ver. FINAL - AUDITED)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5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6">
      <c r="A130" s="201"/>
      <c r="C130" s="223" t="s">
        <v>16</v>
      </c>
      <c r="D130" s="223" t="s">
        <v>17</v>
      </c>
      <c r="E130" s="223" t="s">
        <v>18</v>
      </c>
      <c r="F130" s="210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6">
      <c r="A131" s="240" t="s">
        <v>6</v>
      </c>
      <c r="C131" s="212"/>
      <c r="D131" s="237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6">
      <c r="A132" s="203" t="s">
        <v>8</v>
      </c>
      <c r="B132" s="241"/>
      <c r="C132" s="242"/>
      <c r="D132" s="243" t="s">
        <v>23</v>
      </c>
      <c r="E132" s="244" t="s">
        <v>24</v>
      </c>
      <c r="F132" s="24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6">
      <c r="C133" s="212"/>
      <c r="D133" s="210"/>
      <c r="E133" s="250"/>
      <c r="F133" s="22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3" t="s">
        <v>466</v>
      </c>
      <c r="E135" s="213">
        <f>'Pg 4 of 8 Sch 1 Charges 561'!D28</f>
        <v>54982644.730000004</v>
      </c>
      <c r="F135" s="210"/>
      <c r="G135" s="210" t="s">
        <v>44</v>
      </c>
      <c r="H135" s="230">
        <f>J212</f>
        <v>0.91095685508374102</v>
      </c>
      <c r="I135" s="210"/>
      <c r="J135" s="213">
        <f>ROUND(H135*E135,0)</f>
        <v>50086817</v>
      </c>
      <c r="K135" s="196"/>
      <c r="L135" s="210"/>
      <c r="M135" s="210"/>
      <c r="N135" s="2"/>
      <c r="O135" s="499"/>
      <c r="P135" s="307"/>
      <c r="Q135" s="2"/>
    </row>
    <row r="136" spans="1:29">
      <c r="A136" s="201">
        <v>2</v>
      </c>
      <c r="C136" s="252" t="s">
        <v>2</v>
      </c>
      <c r="D136" s="453" t="s">
        <v>467</v>
      </c>
      <c r="E136" s="720">
        <v>23439729</v>
      </c>
      <c r="F136" s="210"/>
      <c r="G136" s="210" t="s">
        <v>44</v>
      </c>
      <c r="H136" s="230">
        <f>J$212</f>
        <v>0.91095685508374102</v>
      </c>
      <c r="I136" s="210"/>
      <c r="J136" s="215">
        <f t="shared" ref="J136:J144" si="8">ROUND(H136*E136,0)</f>
        <v>21352582</v>
      </c>
      <c r="K136" s="196"/>
      <c r="L136" s="210"/>
      <c r="M136" s="210"/>
      <c r="N136" s="2"/>
      <c r="O136" s="499"/>
      <c r="P136" s="307"/>
      <c r="Q136" s="2"/>
    </row>
    <row r="137" spans="1:29">
      <c r="A137" s="201">
        <v>3</v>
      </c>
      <c r="C137" s="212" t="s">
        <v>49</v>
      </c>
      <c r="D137" s="453" t="s">
        <v>468</v>
      </c>
      <c r="E137" s="575">
        <f>'Pg 4 of 8 Sch 1 Charges 561'!D19</f>
        <v>41811754</v>
      </c>
      <c r="F137" s="210"/>
      <c r="G137" s="210" t="s">
        <v>31</v>
      </c>
      <c r="H137" s="230">
        <f>$J$220</f>
        <v>0.16535656933163348</v>
      </c>
      <c r="I137" s="210"/>
      <c r="J137" s="215">
        <f t="shared" si="8"/>
        <v>6913848</v>
      </c>
      <c r="K137" s="210"/>
      <c r="L137" s="210" t="s">
        <v>5</v>
      </c>
      <c r="M137" s="210"/>
      <c r="N137" s="2"/>
      <c r="O137" s="307"/>
      <c r="P137" s="445"/>
      <c r="Q137" s="2"/>
    </row>
    <row r="138" spans="1:29">
      <c r="A138" s="201">
        <v>4</v>
      </c>
      <c r="C138" s="252" t="s">
        <v>276</v>
      </c>
      <c r="D138" s="307" t="s">
        <v>458</v>
      </c>
      <c r="E138" s="575">
        <v>0</v>
      </c>
      <c r="F138" s="210"/>
      <c r="G138" s="210" t="s">
        <v>31</v>
      </c>
      <c r="H138" s="230">
        <f>$J$220</f>
        <v>0.16535656933163348</v>
      </c>
      <c r="I138" s="210"/>
      <c r="J138" s="215">
        <f t="shared" si="8"/>
        <v>0</v>
      </c>
      <c r="K138" s="210"/>
      <c r="L138" s="210"/>
      <c r="M138" s="210"/>
      <c r="N138" s="2"/>
      <c r="O138" s="499"/>
      <c r="P138" s="445"/>
      <c r="Q138" s="2"/>
    </row>
    <row r="139" spans="1:29">
      <c r="A139" s="201">
        <v>5</v>
      </c>
      <c r="C139" s="303" t="s">
        <v>482</v>
      </c>
      <c r="D139" s="462" t="s">
        <v>499</v>
      </c>
      <c r="E139" s="575">
        <f>'Pg 3 of 8 G&amp;A Adj'!D19</f>
        <v>688163</v>
      </c>
      <c r="F139" s="307"/>
      <c r="G139" s="307" t="s">
        <v>31</v>
      </c>
      <c r="H139" s="385">
        <f>$J$220</f>
        <v>0.16535656933163348</v>
      </c>
      <c r="I139" s="307"/>
      <c r="J139" s="322">
        <f t="shared" si="8"/>
        <v>113792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6" t="s">
        <v>481</v>
      </c>
      <c r="D140" s="462" t="s">
        <v>499</v>
      </c>
      <c r="E140" s="575">
        <f>'Pg 3 of 8 G&amp;A Adj'!D22</f>
        <v>1682405</v>
      </c>
      <c r="F140" s="307"/>
      <c r="G140" s="307"/>
      <c r="H140" s="385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4" t="s">
        <v>480</v>
      </c>
      <c r="C141" s="303" t="s">
        <v>483</v>
      </c>
      <c r="D141" s="462" t="s">
        <v>499</v>
      </c>
      <c r="E141" s="575">
        <f>'Pg 3 of 8 G&amp;A Adj'!D28</f>
        <v>298396.32902638672</v>
      </c>
      <c r="F141" s="307"/>
      <c r="G141" s="395" t="str">
        <f>G135</f>
        <v>TE</v>
      </c>
      <c r="H141" s="385">
        <f>H135</f>
        <v>0.91095685508374102</v>
      </c>
      <c r="I141" s="307"/>
      <c r="J141" s="322">
        <f t="shared" si="8"/>
        <v>271826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7" t="s">
        <v>541</v>
      </c>
      <c r="C142" s="476" t="s">
        <v>542</v>
      </c>
      <c r="D142" s="462" t="s">
        <v>499</v>
      </c>
      <c r="E142" s="575">
        <f>'Pg 3 of 8 G&amp;A Adj'!D39</f>
        <v>0</v>
      </c>
      <c r="F142" s="307"/>
      <c r="G142" s="395"/>
      <c r="H142" s="385"/>
      <c r="I142" s="307"/>
      <c r="J142" s="322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20">
        <v>0</v>
      </c>
      <c r="F143" s="210"/>
      <c r="G143" s="210" t="s">
        <v>79</v>
      </c>
      <c r="H143" s="230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6" thickBot="1">
      <c r="A144" s="201">
        <v>7</v>
      </c>
      <c r="C144" s="212" t="s">
        <v>50</v>
      </c>
      <c r="D144" s="210"/>
      <c r="E144" s="537">
        <v>0</v>
      </c>
      <c r="F144" s="210"/>
      <c r="G144" s="210" t="s">
        <v>5</v>
      </c>
      <c r="H144" s="230">
        <v>1</v>
      </c>
      <c r="I144" s="210"/>
      <c r="J144" s="231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71282498.05902639</v>
      </c>
      <c r="F145" s="210"/>
      <c r="G145" s="210"/>
      <c r="H145" s="210"/>
      <c r="I145" s="210"/>
      <c r="J145" s="213">
        <f>J135-J136+J137-J138-J139+J141+J143+J144+J142</f>
        <v>35806117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75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5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83">
        <v>9483859</v>
      </c>
      <c r="F148" s="210"/>
      <c r="G148" s="210" t="s">
        <v>12</v>
      </c>
      <c r="H148" s="230">
        <f>J202</f>
        <v>0.97095474678410032</v>
      </c>
      <c r="I148" s="210"/>
      <c r="J148" s="213">
        <f>ROUND(H148*E148,0)</f>
        <v>9208398</v>
      </c>
      <c r="K148" s="210"/>
      <c r="L148" s="233"/>
      <c r="M148" s="210"/>
      <c r="N148" s="210"/>
      <c r="O148" s="223"/>
      <c r="P148" s="210"/>
    </row>
    <row r="149" spans="1:19">
      <c r="A149" s="201">
        <v>10</v>
      </c>
      <c r="C149" s="212" t="s">
        <v>540</v>
      </c>
      <c r="D149" s="210" t="s">
        <v>326</v>
      </c>
      <c r="E149" s="720">
        <f>6504491+57920</f>
        <v>6562411</v>
      </c>
      <c r="F149" s="210"/>
      <c r="G149" s="210" t="s">
        <v>31</v>
      </c>
      <c r="H149" s="230">
        <f>H137</f>
        <v>0.16535656933163348</v>
      </c>
      <c r="I149" s="210"/>
      <c r="J149" s="215">
        <f t="shared" ref="J149:J150" si="9">ROUND(H149*E149,0)</f>
        <v>1085138</v>
      </c>
      <c r="K149" s="210"/>
      <c r="L149" s="233"/>
      <c r="M149" s="210"/>
      <c r="N149" s="210"/>
      <c r="O149" s="223"/>
      <c r="P149" s="210"/>
    </row>
    <row r="150" spans="1:19" ht="15.6" thickBot="1">
      <c r="A150" s="201">
        <v>11</v>
      </c>
      <c r="C150" s="212" t="str">
        <f>C143</f>
        <v xml:space="preserve">  Common</v>
      </c>
      <c r="D150" s="210" t="s">
        <v>327</v>
      </c>
      <c r="E150" s="537">
        <v>0</v>
      </c>
      <c r="F150" s="210"/>
      <c r="G150" s="210" t="s">
        <v>79</v>
      </c>
      <c r="H150" s="230">
        <f>H143</f>
        <v>0</v>
      </c>
      <c r="I150" s="210"/>
      <c r="J150" s="231">
        <f t="shared" si="9"/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16046270</v>
      </c>
      <c r="F151" s="210"/>
      <c r="G151" s="210"/>
      <c r="H151" s="210"/>
      <c r="I151" s="210"/>
      <c r="J151" s="213">
        <f>SUM(J148:J150)</f>
        <v>10293536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75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515</v>
      </c>
      <c r="D153" s="475"/>
      <c r="E153" s="575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5"/>
      <c r="F154" s="210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6">
      <c r="A155" s="319">
        <v>13</v>
      </c>
      <c r="C155" s="498" t="s">
        <v>547</v>
      </c>
      <c r="D155" s="307" t="s">
        <v>500</v>
      </c>
      <c r="E155" s="320">
        <v>0</v>
      </c>
      <c r="F155" s="307"/>
      <c r="G155" s="307" t="s">
        <v>31</v>
      </c>
      <c r="H155" s="385">
        <f>$J$220</f>
        <v>0.16535656933163348</v>
      </c>
      <c r="I155" s="307"/>
      <c r="J155" s="320">
        <f>ROUND(H155*E155,0)</f>
        <v>0</v>
      </c>
      <c r="K155" s="307"/>
      <c r="L155" s="559"/>
      <c r="M155" s="572"/>
      <c r="N155" s="576"/>
      <c r="O155" s="576"/>
      <c r="P155" s="576"/>
      <c r="Q155" s="576"/>
      <c r="R155" s="566"/>
      <c r="S155" s="566"/>
    </row>
    <row r="156" spans="1:19">
      <c r="A156" s="201">
        <v>14</v>
      </c>
      <c r="C156" s="254" t="s">
        <v>277</v>
      </c>
      <c r="D156" s="307" t="s">
        <v>500</v>
      </c>
      <c r="E156" s="575">
        <v>0</v>
      </c>
      <c r="F156" s="210"/>
      <c r="G156" s="210" t="s">
        <v>31</v>
      </c>
      <c r="H156" s="230">
        <f>$J$220</f>
        <v>0.16535656933163348</v>
      </c>
      <c r="I156" s="210"/>
      <c r="J156" s="215">
        <f t="shared" ref="J156" si="10">ROUND(H156*E156,0)</f>
        <v>0</v>
      </c>
      <c r="K156" s="210"/>
      <c r="L156" s="558"/>
      <c r="M156" s="572"/>
      <c r="N156" s="582"/>
      <c r="O156" s="541"/>
      <c r="P156" s="579"/>
      <c r="Q156" s="566"/>
      <c r="R156" s="566"/>
      <c r="S156" s="566"/>
    </row>
    <row r="157" spans="1:19">
      <c r="A157" s="201">
        <v>15</v>
      </c>
      <c r="C157" s="212" t="s">
        <v>54</v>
      </c>
      <c r="D157" s="307" t="s">
        <v>5</v>
      </c>
      <c r="E157" s="575"/>
      <c r="F157" s="210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9">
        <v>16</v>
      </c>
      <c r="C158" s="445" t="s">
        <v>548</v>
      </c>
      <c r="D158" s="307" t="s">
        <v>500</v>
      </c>
      <c r="E158" s="575">
        <v>0</v>
      </c>
      <c r="F158" s="307"/>
      <c r="G158" s="307" t="s">
        <v>45</v>
      </c>
      <c r="H158" s="321">
        <f>H80</f>
        <v>0.15003237871044917</v>
      </c>
      <c r="I158" s="307"/>
      <c r="J158" s="322">
        <f t="shared" ref="J158" si="11">ROUND(H158*E158,0)</f>
        <v>0</v>
      </c>
      <c r="K158" s="307"/>
      <c r="L158" s="461"/>
      <c r="M158" s="307"/>
      <c r="N158" s="492"/>
      <c r="O158" s="499"/>
      <c r="P158" s="445"/>
    </row>
    <row r="159" spans="1:19" s="566" customFormat="1">
      <c r="A159" s="573">
        <v>17</v>
      </c>
      <c r="C159" s="579" t="s">
        <v>55</v>
      </c>
      <c r="D159" s="572"/>
      <c r="E159" s="575">
        <v>0</v>
      </c>
      <c r="F159" s="572"/>
      <c r="G159" s="572" t="str">
        <f>G100</f>
        <v>NA</v>
      </c>
      <c r="H159" s="586" t="s">
        <v>27</v>
      </c>
      <c r="I159" s="572"/>
      <c r="J159" s="575">
        <v>0</v>
      </c>
      <c r="K159" s="572"/>
      <c r="L159" s="580"/>
      <c r="M159" s="572"/>
      <c r="N159" s="581"/>
      <c r="O159" s="581"/>
      <c r="P159" s="585"/>
      <c r="Q159" s="579"/>
    </row>
    <row r="160" spans="1:19" s="566" customFormat="1">
      <c r="A160" s="573">
        <v>18</v>
      </c>
      <c r="C160" s="579" t="s">
        <v>56</v>
      </c>
      <c r="D160" s="572"/>
      <c r="E160" s="575">
        <v>0</v>
      </c>
      <c r="F160" s="572"/>
      <c r="G160" s="572" t="str">
        <f>G158</f>
        <v>GP</v>
      </c>
      <c r="H160" s="574">
        <f>H158</f>
        <v>0.15003237871044917</v>
      </c>
      <c r="I160" s="572"/>
      <c r="J160" s="575">
        <f t="shared" ref="J160:J161" si="12">ROUND(H160*E160,0)</f>
        <v>0</v>
      </c>
      <c r="K160" s="572"/>
      <c r="L160" s="580"/>
      <c r="M160" s="572"/>
      <c r="N160" s="581"/>
      <c r="O160" s="581"/>
      <c r="P160" s="585"/>
      <c r="Q160" s="579"/>
    </row>
    <row r="161" spans="1:17" ht="15.6" thickBot="1">
      <c r="A161" s="201">
        <v>19</v>
      </c>
      <c r="C161" s="212" t="s">
        <v>57</v>
      </c>
      <c r="D161" s="210"/>
      <c r="E161" s="537">
        <v>0</v>
      </c>
      <c r="F161" s="210"/>
      <c r="G161" s="210" t="s">
        <v>45</v>
      </c>
      <c r="H161" s="214">
        <f>H158</f>
        <v>0.15003237871044917</v>
      </c>
      <c r="I161" s="210"/>
      <c r="J161" s="231">
        <f t="shared" si="12"/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514</v>
      </c>
      <c r="D165" s="462" t="s">
        <v>501</v>
      </c>
      <c r="E165" s="210"/>
      <c r="F165" s="210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10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10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10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10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6" thickBot="1">
      <c r="A172" s="201">
        <v>26</v>
      </c>
      <c r="C172" s="191" t="s">
        <v>127</v>
      </c>
      <c r="D172" s="259"/>
      <c r="E172" s="231">
        <f>E168*E169</f>
        <v>0</v>
      </c>
      <c r="F172" s="210"/>
      <c r="G172" s="191" t="s">
        <v>43</v>
      </c>
      <c r="H172" s="214">
        <f>H97</f>
        <v>0.1595783395833496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10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390</v>
      </c>
      <c r="E176" s="213">
        <f>J243*E115</f>
        <v>191485660.93889976</v>
      </c>
      <c r="F176" s="210"/>
      <c r="G176" s="210" t="s">
        <v>27</v>
      </c>
      <c r="H176" s="255"/>
      <c r="I176" s="210"/>
      <c r="J176" s="213">
        <f>J243*J115</f>
        <v>31989950.88028555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10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6" thickBot="1">
      <c r="A178" s="201">
        <v>29</v>
      </c>
      <c r="C178" s="212" t="s">
        <v>264</v>
      </c>
      <c r="D178" s="210"/>
      <c r="E178" s="238">
        <f>E176+E173+E162+E151+E145</f>
        <v>278814428.99792612</v>
      </c>
      <c r="F178" s="264"/>
      <c r="G178" s="264"/>
      <c r="H178" s="264"/>
      <c r="I178" s="264"/>
      <c r="J178" s="238">
        <f>J176+J173+J162+J151+J145</f>
        <v>78089603.880285546</v>
      </c>
      <c r="K178" s="196"/>
      <c r="L178" s="196"/>
      <c r="M178" s="196"/>
      <c r="N178" s="196"/>
      <c r="O178" s="196"/>
      <c r="P178" s="212"/>
    </row>
    <row r="179" spans="1:16" ht="15.6" thickTop="1">
      <c r="A179" s="201"/>
      <c r="C179" s="212"/>
      <c r="D179" s="210"/>
      <c r="E179" s="264"/>
      <c r="F179" s="210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10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7.399999999999999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436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2" t="str">
        <f>J7</f>
        <v>For the 12 months ended 12/31/2017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2017 Form FF1 Data (ver. FINAL - AUDITED)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5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6">
      <c r="A193" s="265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6">
      <c r="A194" s="201" t="s">
        <v>6</v>
      </c>
      <c r="C194" s="227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6">
      <c r="A195" s="203" t="s">
        <v>8</v>
      </c>
      <c r="B195" s="241"/>
      <c r="C195" s="266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626369672</v>
      </c>
      <c r="K197" s="210"/>
      <c r="L197" s="210"/>
      <c r="M197" s="210"/>
      <c r="N197" s="196"/>
      <c r="O197" s="210"/>
      <c r="P197" s="212"/>
    </row>
    <row r="198" spans="1:24" ht="15.6">
      <c r="A198" s="201">
        <v>2</v>
      </c>
      <c r="C198" s="446" t="s">
        <v>461</v>
      </c>
      <c r="J198" s="215">
        <v>0</v>
      </c>
      <c r="K198" s="210"/>
      <c r="L198" s="210"/>
      <c r="M198" s="210"/>
      <c r="N198" s="305"/>
      <c r="O198" s="307"/>
      <c r="P198" s="505"/>
      <c r="Q198" s="2"/>
      <c r="R198" s="2"/>
      <c r="S198" s="2"/>
      <c r="T198" s="2"/>
      <c r="U198" s="2"/>
      <c r="V198" s="2"/>
    </row>
    <row r="199" spans="1:24" ht="16.2" thickBot="1">
      <c r="A199" s="201">
        <v>3</v>
      </c>
      <c r="C199" s="477" t="s">
        <v>513</v>
      </c>
      <c r="D199" s="530" t="s">
        <v>555</v>
      </c>
      <c r="E199" s="531"/>
      <c r="F199" s="210"/>
      <c r="G199" s="210"/>
      <c r="H199" s="237"/>
      <c r="I199" s="210"/>
      <c r="J199" s="231">
        <f>'Pg 5 of 8 Trans Plant In OATT'!C21</f>
        <v>18193065.73</v>
      </c>
      <c r="K199" s="210"/>
      <c r="M199" s="210"/>
      <c r="N199" s="307"/>
      <c r="O199" s="305"/>
      <c r="P199" s="505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7"/>
      <c r="I200" s="210"/>
      <c r="J200" s="215">
        <f>J197-J198-J199</f>
        <v>608176606.26999998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68"/>
      <c r="G202" s="268"/>
      <c r="H202" s="225"/>
      <c r="I202" s="210" t="s">
        <v>64</v>
      </c>
      <c r="J202" s="269">
        <f>IF(J197&gt;0,J200/J197,0)</f>
        <v>0.97095474678410032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6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3"/>
      <c r="I206" s="196"/>
      <c r="J206" s="215">
        <f>E135</f>
        <v>54982644.730000004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6" thickBot="1">
      <c r="A207" s="201">
        <v>7</v>
      </c>
      <c r="C207" s="477" t="s">
        <v>512</v>
      </c>
      <c r="D207" s="530" t="s">
        <v>502</v>
      </c>
      <c r="E207" s="267"/>
      <c r="F207" s="267"/>
      <c r="G207" s="210"/>
      <c r="H207" s="210"/>
      <c r="I207" s="210"/>
      <c r="J207" s="231">
        <f>'Pg 4 of 8 Sch 1 Charges 561'!D42</f>
        <v>3397524.7300000004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68"/>
      <c r="G208" s="268"/>
      <c r="H208" s="225"/>
      <c r="I208" s="268"/>
      <c r="J208" s="215">
        <f>J206-J207</f>
        <v>51585120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0">
        <f>IF(J206&gt;0,J208/J206,0)</f>
        <v>0.93820732438965015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0">
        <f>J202</f>
        <v>0.97095474678410032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1">
        <f>J211*J210</f>
        <v>0.91095685508374102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6">
      <c r="A214" s="201" t="s">
        <v>5</v>
      </c>
      <c r="C214" s="227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6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20">
        <v>36644307</v>
      </c>
      <c r="F216" s="273">
        <v>0</v>
      </c>
      <c r="G216" s="273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20">
        <v>10561224</v>
      </c>
      <c r="F217" s="273">
        <f>J202</f>
        <v>0.97095474678410032</v>
      </c>
      <c r="G217" s="273"/>
      <c r="H217" s="215">
        <f>E217*F217</f>
        <v>10254470.574650163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20">
        <v>919394</v>
      </c>
      <c r="F218" s="273">
        <v>0</v>
      </c>
      <c r="G218" s="273"/>
      <c r="H218" s="215">
        <f>E218*F218</f>
        <v>0</v>
      </c>
      <c r="I218" s="210"/>
      <c r="J218" s="274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6" thickBot="1">
      <c r="A219" s="201">
        <v>15</v>
      </c>
      <c r="C219" s="212" t="s">
        <v>71</v>
      </c>
      <c r="D219" s="210" t="s">
        <v>328</v>
      </c>
      <c r="E219" s="784">
        <f>1301433+15461+12572473</f>
        <v>13889367</v>
      </c>
      <c r="F219" s="273">
        <v>0</v>
      </c>
      <c r="G219" s="273"/>
      <c r="H219" s="231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62014292</v>
      </c>
      <c r="F220" s="210"/>
      <c r="G220" s="210"/>
      <c r="H220" s="215">
        <f>SUM(H216:H219)</f>
        <v>10254470.574650163</v>
      </c>
      <c r="I220" s="223" t="s">
        <v>73</v>
      </c>
      <c r="J220" s="230">
        <f>IF(H220&gt;0,H220/E220,0)</f>
        <v>0.16535656933163348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6">
      <c r="A222" s="201"/>
      <c r="C222" s="227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10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3">
        <v>1</v>
      </c>
      <c r="F224" s="210"/>
      <c r="H224" s="201" t="s">
        <v>77</v>
      </c>
      <c r="I224" s="275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3">
        <v>0</v>
      </c>
      <c r="F225" s="210"/>
      <c r="H225" s="214">
        <f>IF(E227&gt;0,E224/E227,0)</f>
        <v>1</v>
      </c>
      <c r="I225" s="237" t="s">
        <v>81</v>
      </c>
      <c r="J225" s="214">
        <f>J220</f>
        <v>0.16535656933163348</v>
      </c>
      <c r="K225"/>
      <c r="L225"/>
      <c r="M225" s="210"/>
      <c r="N225" s="210"/>
      <c r="O225" s="210"/>
      <c r="P225" s="212"/>
    </row>
    <row r="226" spans="1:18" ht="15.6" thickBot="1">
      <c r="A226" s="201">
        <v>19</v>
      </c>
      <c r="C226" s="277" t="s">
        <v>82</v>
      </c>
      <c r="D226" s="267" t="s">
        <v>147</v>
      </c>
      <c r="E226" s="344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2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2" thickBot="1">
      <c r="A229" s="201"/>
      <c r="B229" s="194"/>
      <c r="C229" s="278" t="s">
        <v>83</v>
      </c>
      <c r="D229" s="210"/>
      <c r="E229" s="210"/>
      <c r="F229" s="210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10"/>
      <c r="G230" s="210"/>
      <c r="H230" s="210"/>
      <c r="I230" s="210"/>
      <c r="J230" s="324">
        <f>'Pg 7 of 8 Cap Str'!C18</f>
        <v>114915472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0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6">
      <c r="A234" s="201"/>
      <c r="B234" s="194"/>
      <c r="C234" s="278" t="s">
        <v>504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473</v>
      </c>
      <c r="D235" s="2" t="s">
        <v>554</v>
      </c>
      <c r="J235" s="478">
        <f>'Pg 7 of 8 Cap Str'!C24</f>
        <v>2468515698</v>
      </c>
      <c r="K235"/>
      <c r="L235"/>
      <c r="M235" s="307"/>
      <c r="N235" s="307"/>
      <c r="O235" s="307"/>
      <c r="P235" s="445"/>
      <c r="Q235" s="2"/>
      <c r="R235" s="2"/>
    </row>
    <row r="236" spans="1:18">
      <c r="A236" s="201">
        <v>24</v>
      </c>
      <c r="B236" s="194"/>
      <c r="C236" s="307" t="s">
        <v>508</v>
      </c>
      <c r="D236" s="2" t="s">
        <v>505</v>
      </c>
      <c r="E236" s="194"/>
      <c r="F236" s="210"/>
      <c r="G236" s="210"/>
      <c r="H236" s="210"/>
      <c r="I236" s="210"/>
      <c r="J236" s="215">
        <f>'Pg 7 of 8 Cap Str'!C25</f>
        <v>612445027</v>
      </c>
      <c r="K236"/>
      <c r="L236"/>
      <c r="M236" s="307"/>
      <c r="N236" s="307"/>
      <c r="O236" s="307"/>
      <c r="P236" s="445"/>
      <c r="Q236" s="2"/>
      <c r="R236" s="2"/>
    </row>
    <row r="237" spans="1:18" ht="15.6" thickBot="1">
      <c r="A237" s="201">
        <v>25</v>
      </c>
      <c r="B237" s="194"/>
      <c r="C237" s="307" t="s">
        <v>506</v>
      </c>
      <c r="D237" s="2" t="s">
        <v>507</v>
      </c>
      <c r="E237" s="210"/>
      <c r="F237" s="210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562</v>
      </c>
      <c r="E238" s="306" t="s">
        <v>85</v>
      </c>
      <c r="F238" s="306"/>
      <c r="G238" s="306"/>
      <c r="H238" s="306"/>
      <c r="I238" s="194"/>
      <c r="J238" s="362">
        <f>J235+J236+J237</f>
        <v>3080960725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92"/>
      <c r="I239" s="210"/>
      <c r="J239" s="210"/>
      <c r="K239"/>
      <c r="L239"/>
      <c r="M239" s="210"/>
      <c r="N239" s="210"/>
      <c r="O239" s="210"/>
      <c r="P239" s="212"/>
    </row>
    <row r="240" spans="1:18" ht="15.6" thickBot="1">
      <c r="A240" s="201"/>
      <c r="C240" s="212"/>
      <c r="D240" s="2"/>
      <c r="E240" s="532" t="s">
        <v>67</v>
      </c>
      <c r="F240" s="532" t="s">
        <v>86</v>
      </c>
      <c r="G240" s="307"/>
      <c r="H240" s="532" t="s">
        <v>558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462</v>
      </c>
      <c r="D241" s="533" t="s">
        <v>511</v>
      </c>
      <c r="E241" s="322">
        <f>J235</f>
        <v>2468515698</v>
      </c>
      <c r="F241" s="534">
        <f>E241/E243</f>
        <v>0.80121621738621807</v>
      </c>
      <c r="G241" s="535"/>
      <c r="H241" s="536">
        <f>'Pg 7 of 8 Cap Str'!E24</f>
        <v>4.6552457451700599E-2</v>
      </c>
      <c r="J241" s="363">
        <f>F241*H241</f>
        <v>3.7298583869484411E-2</v>
      </c>
      <c r="K241"/>
      <c r="L241"/>
      <c r="M241" s="210"/>
      <c r="N241" s="307"/>
      <c r="O241" s="210"/>
      <c r="P241" s="212"/>
    </row>
    <row r="242" spans="1:23" ht="16.2" thickBot="1">
      <c r="A242" s="201">
        <v>28</v>
      </c>
      <c r="C242" s="210" t="s">
        <v>330</v>
      </c>
      <c r="D242" s="475" t="s">
        <v>503</v>
      </c>
      <c r="E242" s="537">
        <f>J236</f>
        <v>612445027</v>
      </c>
      <c r="F242" s="534">
        <f>E242/E243</f>
        <v>0.19878378261378193</v>
      </c>
      <c r="G242" s="535"/>
      <c r="H242" s="538">
        <f>'Pg 7 of 8 Cap Str'!E25</f>
        <v>0.16364565499424763</v>
      </c>
      <c r="J242" s="364">
        <f>F242*H242</f>
        <v>3.253010230806648E-2</v>
      </c>
      <c r="K242"/>
      <c r="L242"/>
      <c r="M242" s="210"/>
      <c r="N242" s="210"/>
      <c r="O242" s="210"/>
      <c r="P242" s="212"/>
    </row>
    <row r="243" spans="1:23" ht="15.6">
      <c r="A243" s="201">
        <v>29</v>
      </c>
      <c r="C243" s="212" t="s">
        <v>388</v>
      </c>
      <c r="D243" s="475"/>
      <c r="E243" s="539">
        <f>E241+E242</f>
        <v>3080960725</v>
      </c>
      <c r="F243" s="534"/>
      <c r="G243" s="535"/>
      <c r="H243" s="603" t="s">
        <v>601</v>
      </c>
      <c r="J243" s="366">
        <f>J241+J242</f>
        <v>6.9828686177550892E-2</v>
      </c>
      <c r="K243"/>
      <c r="L243"/>
      <c r="M243" s="210"/>
      <c r="N243" s="210"/>
      <c r="O243" s="210"/>
      <c r="P243" s="212"/>
    </row>
    <row r="244" spans="1:23">
      <c r="D244" s="475"/>
      <c r="E244" s="2"/>
      <c r="F244" s="2"/>
      <c r="G244" s="2"/>
      <c r="H244" s="2"/>
      <c r="M244" s="210"/>
      <c r="N244" s="210"/>
      <c r="O244" s="210"/>
      <c r="P244" s="212"/>
    </row>
    <row r="245" spans="1:23" ht="15.6">
      <c r="A245" s="201">
        <v>30</v>
      </c>
      <c r="C245" s="191" t="s">
        <v>510</v>
      </c>
      <c r="D245" s="475" t="s">
        <v>559</v>
      </c>
      <c r="E245" s="322"/>
      <c r="F245" s="307" t="s">
        <v>5</v>
      </c>
      <c r="G245" s="307"/>
      <c r="H245" s="540" t="s">
        <v>389</v>
      </c>
      <c r="I245" s="228"/>
      <c r="J245" s="365">
        <f>J243/H241</f>
        <v>1.4999999999999998</v>
      </c>
      <c r="M245" s="210"/>
      <c r="N245" s="210"/>
      <c r="O245" s="210"/>
      <c r="P245" s="212"/>
    </row>
    <row r="246" spans="1:23" ht="15.6">
      <c r="C246" s="278"/>
      <c r="D246" s="475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6">
      <c r="A247" s="201"/>
      <c r="C247" s="278" t="s">
        <v>88</v>
      </c>
      <c r="D247" s="193"/>
      <c r="E247" s="194"/>
      <c r="F247" s="194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79"/>
      <c r="K248" s="240"/>
      <c r="O248" s="210"/>
      <c r="P248" s="212"/>
    </row>
    <row r="249" spans="1:23">
      <c r="A249" s="201"/>
      <c r="C249" s="235" t="s">
        <v>422</v>
      </c>
      <c r="D249" s="193"/>
      <c r="E249" s="194" t="s">
        <v>89</v>
      </c>
      <c r="F249" s="194"/>
      <c r="G249" s="194"/>
      <c r="H249" s="194" t="s">
        <v>5</v>
      </c>
      <c r="J249" s="622"/>
      <c r="K249" s="279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50">
        <v>0</v>
      </c>
      <c r="K250" s="28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6" thickBot="1">
      <c r="A251" s="201">
        <v>32</v>
      </c>
      <c r="C251" s="281" t="s">
        <v>266</v>
      </c>
      <c r="D251" s="457"/>
      <c r="E251" s="281"/>
      <c r="F251" s="282"/>
      <c r="G251" s="282"/>
      <c r="H251" s="282"/>
      <c r="I251" s="194"/>
      <c r="J251" s="751">
        <f>J249-J250</f>
        <v>0</v>
      </c>
      <c r="K251" s="283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41"/>
      <c r="E252" s="2"/>
      <c r="F252" s="306"/>
      <c r="G252" s="194"/>
      <c r="H252" s="194"/>
      <c r="I252" s="194"/>
      <c r="J252" s="285">
        <f>J250-J251</f>
        <v>0</v>
      </c>
      <c r="K252" s="280"/>
      <c r="O252" s="210"/>
      <c r="P252" s="212"/>
    </row>
    <row r="253" spans="1:23">
      <c r="A253" s="201"/>
      <c r="C253" s="191" t="s">
        <v>5</v>
      </c>
      <c r="D253" s="541"/>
      <c r="E253" s="2"/>
      <c r="F253" s="306"/>
      <c r="G253" s="194"/>
      <c r="H253" s="284"/>
      <c r="I253" s="194"/>
      <c r="K253" s="279"/>
      <c r="L253" s="286"/>
      <c r="M253" s="210"/>
      <c r="N253" s="237"/>
      <c r="O253" s="210"/>
      <c r="P253" s="212"/>
    </row>
    <row r="254" spans="1:23">
      <c r="A254" s="201">
        <v>34</v>
      </c>
      <c r="C254" s="235" t="s">
        <v>509</v>
      </c>
      <c r="D254" s="541" t="s">
        <v>560</v>
      </c>
      <c r="E254" s="2"/>
      <c r="F254" s="306"/>
      <c r="G254" s="194"/>
      <c r="H254" s="287"/>
      <c r="I254" s="194"/>
      <c r="J254" s="479">
        <f>ROUND('Pg 6 of 8 Rev Cred Support'!E24,0)</f>
        <v>159299</v>
      </c>
      <c r="K254" s="279"/>
      <c r="L254" s="286"/>
      <c r="M254" s="210"/>
      <c r="N254" s="237"/>
      <c r="O254" s="210"/>
      <c r="P254" s="260"/>
    </row>
    <row r="255" spans="1:23">
      <c r="A255" s="201"/>
      <c r="D255" s="306"/>
      <c r="E255" s="306"/>
      <c r="F255" s="306"/>
      <c r="G255" s="194"/>
      <c r="H255" s="194"/>
      <c r="I255" s="194"/>
      <c r="J255" s="285"/>
      <c r="K255" s="279"/>
      <c r="L255" s="491"/>
      <c r="M255" s="307"/>
      <c r="N255" s="492"/>
      <c r="O255" s="307"/>
      <c r="P255" s="237"/>
    </row>
    <row r="256" spans="1:23">
      <c r="A256" s="201">
        <v>35</v>
      </c>
      <c r="C256" s="446" t="s">
        <v>463</v>
      </c>
      <c r="D256" s="306" t="s">
        <v>561</v>
      </c>
      <c r="E256" s="306"/>
      <c r="F256" s="306"/>
      <c r="G256" s="194"/>
      <c r="H256" s="194"/>
      <c r="I256" s="194"/>
      <c r="J256" s="479">
        <f>'Pg 6 of 8 Rev Cred Support'!E46</f>
        <v>245893.0299999984</v>
      </c>
      <c r="L256" s="493"/>
      <c r="M256" s="307"/>
      <c r="N256" s="462"/>
      <c r="O256" s="305"/>
      <c r="P256" s="237"/>
    </row>
    <row r="257" spans="1:16">
      <c r="A257" s="201"/>
      <c r="C257" s="192"/>
      <c r="D257" s="338"/>
      <c r="E257" s="542"/>
      <c r="F257" s="338"/>
      <c r="G257" s="192"/>
      <c r="H257" s="192"/>
      <c r="I257" s="194"/>
      <c r="K257" s="201"/>
      <c r="L257" s="494"/>
      <c r="M257" s="319"/>
      <c r="N257" s="305"/>
      <c r="O257" s="305"/>
      <c r="P257" s="196"/>
    </row>
    <row r="258" spans="1:16">
      <c r="C258" s="192"/>
      <c r="D258" s="338"/>
      <c r="E258" s="542"/>
      <c r="F258" s="338"/>
      <c r="G258" s="192"/>
      <c r="H258" s="192"/>
      <c r="I258" s="194"/>
      <c r="L258" s="2"/>
      <c r="M258" s="495"/>
      <c r="N258" s="305"/>
      <c r="O258" s="305"/>
      <c r="P258" s="196"/>
    </row>
    <row r="259" spans="1:16">
      <c r="C259" s="192"/>
      <c r="D259" s="338"/>
      <c r="E259" s="542"/>
      <c r="F259" s="338"/>
      <c r="G259" s="192"/>
      <c r="H259" s="192"/>
      <c r="I259" s="194"/>
      <c r="L259" s="2"/>
      <c r="M259" s="495"/>
      <c r="N259" s="305"/>
      <c r="O259" s="305"/>
      <c r="P259" s="196"/>
    </row>
    <row r="260" spans="1:16" ht="17.399999999999999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435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2" t="str">
        <f>$J$7</f>
        <v>For the 12 months ended 12/31/2017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13" t="str">
        <f>$A$8</f>
        <v>Rate Formula Template</v>
      </c>
      <c r="B267" s="813"/>
      <c r="C267" s="813"/>
      <c r="D267" s="813"/>
      <c r="E267" s="813"/>
      <c r="F267" s="813"/>
      <c r="G267" s="813"/>
      <c r="H267" s="813"/>
      <c r="I267" s="813"/>
      <c r="J267" s="813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2017 Form FF1 Data (ver. FINAL - AUDITED)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12" t="str">
        <f>$A$11</f>
        <v>East Kentucky Power Cooperative, Inc.</v>
      </c>
      <c r="B270" s="812"/>
      <c r="C270" s="812"/>
      <c r="D270" s="812"/>
      <c r="E270" s="812"/>
      <c r="F270" s="812"/>
      <c r="G270" s="812"/>
      <c r="H270" s="812"/>
      <c r="I270" s="812"/>
      <c r="J270" s="812"/>
      <c r="K270" s="194"/>
      <c r="L270" s="200"/>
      <c r="M270" s="194"/>
      <c r="N270" s="201"/>
      <c r="O270" s="196"/>
      <c r="P270" s="196"/>
    </row>
    <row r="271" spans="1:16" ht="15.6">
      <c r="A271" s="474"/>
      <c r="B271" s="194"/>
      <c r="C271" s="288"/>
      <c r="D271" s="201"/>
      <c r="E271" s="210"/>
      <c r="F271" s="210"/>
      <c r="G271" s="210"/>
      <c r="H271" s="210"/>
      <c r="I271" s="194"/>
      <c r="J271" s="210"/>
      <c r="K271" s="194"/>
      <c r="L271" s="289"/>
      <c r="M271" s="194"/>
      <c r="N271" s="201"/>
      <c r="O271" s="196"/>
      <c r="P271" s="196"/>
    </row>
    <row r="272" spans="1:16" ht="20.399999999999999">
      <c r="A272" s="201"/>
      <c r="B272" s="194"/>
      <c r="C272" s="278" t="s">
        <v>91</v>
      </c>
      <c r="D272" s="226"/>
      <c r="E272" s="210"/>
      <c r="F272" s="210"/>
      <c r="G272" s="210"/>
      <c r="H272" s="210"/>
      <c r="I272" s="194"/>
      <c r="J272" s="210"/>
      <c r="K272" s="194"/>
      <c r="L272" s="210"/>
      <c r="M272" s="290"/>
      <c r="N272" s="291"/>
      <c r="O272" s="196"/>
      <c r="P272" s="196"/>
    </row>
    <row r="273" spans="1:20" ht="20.399999999999999">
      <c r="A273" s="201" t="s">
        <v>93</v>
      </c>
      <c r="B273" s="194"/>
      <c r="C273" s="278" t="s">
        <v>92</v>
      </c>
      <c r="D273" s="249"/>
      <c r="E273" s="210"/>
      <c r="F273" s="210"/>
      <c r="G273" s="210"/>
      <c r="H273" s="210"/>
      <c r="I273" s="194"/>
      <c r="J273" s="210"/>
      <c r="K273" s="194"/>
      <c r="L273" s="210"/>
      <c r="M273" s="290"/>
      <c r="N273" s="291"/>
      <c r="O273" s="196"/>
      <c r="P273" s="196"/>
    </row>
    <row r="274" spans="1:20" ht="20.399999999999999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0"/>
      <c r="N274" s="292"/>
      <c r="O274" s="196"/>
      <c r="P274" s="196"/>
    </row>
    <row r="275" spans="1:20" ht="20.25" customHeight="1">
      <c r="A275" s="381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83"/>
      <c r="N275" s="292"/>
      <c r="O275" s="196"/>
      <c r="P275" s="196"/>
    </row>
    <row r="276" spans="1:20" ht="20.25" customHeight="1">
      <c r="A276" s="381"/>
      <c r="B276" s="2"/>
      <c r="C276" s="305" t="s">
        <v>248</v>
      </c>
      <c r="D276" s="341"/>
      <c r="E276" s="305"/>
      <c r="F276" s="305"/>
      <c r="G276" s="307"/>
      <c r="H276" s="307"/>
      <c r="I276" s="306"/>
      <c r="J276" s="307"/>
      <c r="K276" s="306"/>
      <c r="L276" s="307"/>
      <c r="M276" s="383"/>
      <c r="N276" s="292"/>
      <c r="O276" s="196"/>
      <c r="P276" s="196"/>
    </row>
    <row r="277" spans="1:20" ht="20.25" customHeight="1">
      <c r="A277" s="381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83"/>
      <c r="N277" s="292"/>
      <c r="O277" s="196"/>
      <c r="P277" s="196"/>
    </row>
    <row r="278" spans="1:20" ht="20.25" customHeight="1">
      <c r="A278" s="381"/>
      <c r="B278" s="2"/>
      <c r="C278" s="305" t="s">
        <v>434</v>
      </c>
      <c r="D278" s="305"/>
      <c r="E278" s="341"/>
      <c r="F278" s="305"/>
      <c r="G278" s="307"/>
      <c r="H278" s="307"/>
      <c r="I278" s="306"/>
      <c r="J278" s="307"/>
      <c r="K278" s="306"/>
      <c r="L278" s="307"/>
      <c r="M278" s="383"/>
      <c r="N278" s="292"/>
      <c r="O278" s="196"/>
      <c r="P278" s="196"/>
    </row>
    <row r="279" spans="1:20" ht="20.25" customHeight="1">
      <c r="A279" s="381" t="s">
        <v>96</v>
      </c>
      <c r="B279" s="306"/>
      <c r="C279" s="338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83"/>
      <c r="N279" s="292"/>
      <c r="O279" s="196"/>
      <c r="P279" s="196"/>
    </row>
    <row r="280" spans="1:20" ht="20.25" customHeight="1">
      <c r="A280" s="381" t="s">
        <v>97</v>
      </c>
      <c r="B280" s="306"/>
      <c r="C280" s="338" t="s">
        <v>566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83"/>
      <c r="N280" s="292"/>
      <c r="O280" s="196"/>
      <c r="P280" s="196"/>
    </row>
    <row r="281" spans="1:20" ht="20.25" customHeight="1">
      <c r="A281" s="381" t="s">
        <v>98</v>
      </c>
      <c r="B281" s="306"/>
      <c r="C281" s="590" t="s">
        <v>583</v>
      </c>
      <c r="D281" s="588"/>
      <c r="E281" s="589"/>
      <c r="F281" s="589"/>
      <c r="G281" s="307"/>
      <c r="H281" s="307"/>
      <c r="I281" s="306"/>
      <c r="J281" s="307"/>
      <c r="K281" s="306"/>
      <c r="L281" s="307"/>
      <c r="M281" s="383"/>
      <c r="N281" s="543"/>
      <c r="O281" s="305"/>
      <c r="P281" s="305"/>
      <c r="Q281" s="2"/>
      <c r="R281" s="2"/>
      <c r="S281" s="2"/>
      <c r="T281" s="2"/>
    </row>
    <row r="282" spans="1:20" ht="20.25" customHeight="1">
      <c r="A282" s="381"/>
      <c r="B282" s="306"/>
      <c r="C282" s="590" t="s">
        <v>402</v>
      </c>
      <c r="D282" s="588"/>
      <c r="E282" s="589"/>
      <c r="F282" s="589"/>
      <c r="G282" s="307"/>
      <c r="H282" s="307"/>
      <c r="I282" s="306"/>
      <c r="J282" s="307"/>
      <c r="K282" s="306"/>
      <c r="L282" s="307"/>
      <c r="M282" s="383"/>
      <c r="N282" s="496"/>
      <c r="O282" s="305"/>
      <c r="P282" s="305"/>
      <c r="Q282" s="2"/>
      <c r="R282" s="2"/>
      <c r="S282" s="2"/>
      <c r="T282" s="2"/>
    </row>
    <row r="283" spans="1:20" ht="20.25" customHeight="1">
      <c r="A283" s="381"/>
      <c r="B283" s="306"/>
      <c r="C283" s="590" t="s">
        <v>584</v>
      </c>
      <c r="D283" s="588"/>
      <c r="E283" s="589"/>
      <c r="F283" s="589"/>
      <c r="G283" s="307"/>
      <c r="H283" s="307"/>
      <c r="I283" s="306"/>
      <c r="J283" s="307"/>
      <c r="K283" s="306"/>
      <c r="L283" s="307"/>
      <c r="M283" s="383"/>
      <c r="N283" s="496"/>
      <c r="O283" s="305"/>
      <c r="P283" s="305"/>
      <c r="Q283" s="2"/>
      <c r="R283" s="2"/>
      <c r="S283" s="2"/>
      <c r="T283" s="2"/>
    </row>
    <row r="284" spans="1:20" ht="20.25" customHeight="1">
      <c r="A284" s="381" t="s">
        <v>99</v>
      </c>
      <c r="B284" s="306"/>
      <c r="C284" s="590" t="s">
        <v>585</v>
      </c>
      <c r="D284" s="588"/>
      <c r="E284" s="589"/>
      <c r="F284" s="589"/>
      <c r="G284" s="307"/>
      <c r="H284" s="307"/>
      <c r="I284" s="306"/>
      <c r="J284" s="307"/>
      <c r="K284" s="306"/>
      <c r="L284" s="307"/>
      <c r="M284" s="383"/>
      <c r="N284" s="292"/>
      <c r="O284" s="196"/>
      <c r="P284" s="196"/>
    </row>
    <row r="285" spans="1:20" ht="20.25" customHeight="1">
      <c r="A285" s="381"/>
      <c r="B285" s="306"/>
      <c r="C285" s="590" t="s">
        <v>402</v>
      </c>
      <c r="D285" s="588"/>
      <c r="E285" s="589"/>
      <c r="F285" s="589"/>
      <c r="G285" s="307"/>
      <c r="H285" s="307"/>
      <c r="I285" s="306"/>
      <c r="J285" s="307"/>
      <c r="K285" s="306"/>
      <c r="L285" s="307"/>
      <c r="M285" s="383"/>
      <c r="N285" s="292"/>
      <c r="O285" s="196"/>
      <c r="P285" s="196"/>
    </row>
    <row r="286" spans="1:20" ht="20.25" customHeight="1">
      <c r="A286" s="381"/>
      <c r="B286" s="306"/>
      <c r="C286" s="590" t="s">
        <v>586</v>
      </c>
      <c r="D286" s="588"/>
      <c r="E286" s="589"/>
      <c r="F286" s="589"/>
      <c r="G286" s="307"/>
      <c r="H286" s="307"/>
      <c r="I286" s="306"/>
      <c r="J286" s="307"/>
      <c r="K286" s="306"/>
      <c r="L286" s="307"/>
      <c r="M286" s="383"/>
      <c r="N286" s="292"/>
      <c r="O286" s="196"/>
      <c r="P286" s="196"/>
    </row>
    <row r="287" spans="1:20" ht="20.25" customHeight="1">
      <c r="A287" s="381" t="s">
        <v>100</v>
      </c>
      <c r="B287" s="306"/>
      <c r="C287" s="339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9"/>
      <c r="E287" s="307"/>
      <c r="F287" s="307"/>
      <c r="G287" s="307"/>
      <c r="H287" s="307"/>
      <c r="I287" s="306"/>
      <c r="J287" s="307"/>
      <c r="K287" s="306"/>
      <c r="L287" s="307"/>
      <c r="M287" s="383"/>
      <c r="N287" s="292"/>
      <c r="O287" s="196"/>
      <c r="P287" s="196"/>
    </row>
    <row r="288" spans="1:20" ht="20.25" customHeight="1">
      <c r="A288" s="381" t="s">
        <v>101</v>
      </c>
      <c r="B288" s="2"/>
      <c r="C288" s="339" t="s">
        <v>563</v>
      </c>
      <c r="D288" s="339"/>
      <c r="E288" s="307"/>
      <c r="F288" s="307"/>
      <c r="G288" s="307"/>
      <c r="H288" s="307"/>
      <c r="I288" s="306"/>
      <c r="J288" s="307"/>
      <c r="K288" s="306"/>
      <c r="L288" s="307"/>
      <c r="M288" s="383"/>
      <c r="N288" s="292"/>
      <c r="O288" s="196"/>
      <c r="P288" s="196"/>
    </row>
    <row r="289" spans="1:22" ht="20.25" customHeight="1">
      <c r="A289" s="381"/>
      <c r="B289" s="306"/>
      <c r="C289" s="339" t="s">
        <v>567</v>
      </c>
      <c r="D289" s="2"/>
      <c r="E289" s="2"/>
      <c r="F289" s="307"/>
      <c r="G289" s="307"/>
      <c r="H289" s="2"/>
      <c r="I289" s="339"/>
      <c r="J289" s="339"/>
      <c r="K289" s="306"/>
      <c r="L289" s="307"/>
      <c r="M289" s="383"/>
      <c r="N289" s="292"/>
      <c r="O289" s="196"/>
      <c r="P289" s="196"/>
    </row>
    <row r="290" spans="1:22" ht="20.25" customHeight="1">
      <c r="A290" s="500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0"/>
      <c r="N290" s="292"/>
      <c r="O290" s="196"/>
      <c r="P290" s="196"/>
    </row>
    <row r="291" spans="1:22" ht="20.25" customHeight="1">
      <c r="A291" s="500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0"/>
      <c r="N291" s="292"/>
      <c r="O291" s="196"/>
      <c r="P291" s="196"/>
    </row>
    <row r="292" spans="1:22" ht="35.25" customHeight="1">
      <c r="A292" s="500"/>
      <c r="B292" s="194"/>
      <c r="C292" s="814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14"/>
      <c r="E292" s="814"/>
      <c r="F292" s="814"/>
      <c r="G292" s="814"/>
      <c r="H292" s="814"/>
      <c r="I292" s="814"/>
      <c r="J292" s="814"/>
      <c r="K292" s="306"/>
      <c r="L292" s="307"/>
      <c r="M292" s="480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500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80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500" t="s">
        <v>103</v>
      </c>
      <c r="B294" s="194"/>
      <c r="C294" s="306" t="s">
        <v>536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80"/>
      <c r="N294" s="384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500"/>
      <c r="B295" s="194"/>
      <c r="C295" s="306" t="s">
        <v>537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80"/>
      <c r="N295" s="384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81" t="s">
        <v>104</v>
      </c>
      <c r="B296" s="306"/>
      <c r="C296" s="306" t="s">
        <v>550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500" t="s">
        <v>105</v>
      </c>
      <c r="B297" s="194"/>
      <c r="C297" s="306" t="s">
        <v>535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0"/>
      <c r="N297" s="292"/>
      <c r="O297" s="196"/>
      <c r="P297" s="196"/>
    </row>
    <row r="298" spans="1:22" ht="20.25" customHeight="1">
      <c r="A298" s="500"/>
      <c r="B298" s="194"/>
      <c r="C298" s="306" t="s">
        <v>538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0"/>
      <c r="N298" s="293"/>
      <c r="O298" s="196"/>
      <c r="P298" s="196"/>
    </row>
    <row r="299" spans="1:22" ht="20.25" customHeight="1">
      <c r="A299" s="500"/>
      <c r="B299" s="194"/>
      <c r="C299" s="306" t="s">
        <v>539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0"/>
      <c r="N299" s="293"/>
      <c r="O299" s="196"/>
      <c r="P299" s="196"/>
    </row>
    <row r="300" spans="1:22" ht="20.25" customHeight="1">
      <c r="A300" s="500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500" t="s">
        <v>107</v>
      </c>
      <c r="B301" s="194"/>
      <c r="C301" s="306" t="s">
        <v>433</v>
      </c>
      <c r="D301" s="306"/>
      <c r="E301" s="339"/>
      <c r="F301" s="306"/>
      <c r="G301" s="306"/>
      <c r="H301" s="306"/>
      <c r="I301" s="306"/>
      <c r="J301" s="339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500" t="s">
        <v>108</v>
      </c>
      <c r="B302" s="194"/>
      <c r="C302" s="338" t="str">
        <f>CONCATENATE('Pg 7 of 8 Cap Str'!I28,TEXT('Pg 7 of 8 Cap Str'!J28,"#.00"))</f>
        <v>TIER Target =1.50</v>
      </c>
      <c r="D302" s="306"/>
      <c r="E302" s="2"/>
      <c r="F302" s="339"/>
      <c r="G302" s="339"/>
      <c r="H302" s="339"/>
      <c r="I302" s="339"/>
      <c r="J302" s="339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500" t="s">
        <v>109</v>
      </c>
      <c r="B303" s="194"/>
      <c r="C303" s="811" t="str">
        <f>CONCATENATE(LEFT('Pg 7 of 8 Cap Str'!B28,14)," based on calculated amounts")</f>
        <v>Effective TIER based on calculated amounts</v>
      </c>
      <c r="D303" s="306"/>
      <c r="E303" s="2"/>
      <c r="F303" s="339"/>
      <c r="G303" s="339"/>
      <c r="H303" s="339"/>
      <c r="I303" s="339"/>
      <c r="J303" s="339"/>
      <c r="K303" s="306"/>
      <c r="L303" s="194"/>
      <c r="M303" s="290"/>
      <c r="N303" s="291"/>
      <c r="O303" s="196"/>
      <c r="P303" s="196"/>
    </row>
    <row r="304" spans="1:22" ht="20.25" customHeight="1">
      <c r="A304" s="500" t="s">
        <v>110</v>
      </c>
      <c r="B304" s="194"/>
      <c r="C304" s="306" t="s">
        <v>113</v>
      </c>
      <c r="D304" s="2"/>
      <c r="E304" s="2"/>
      <c r="F304" s="339"/>
      <c r="G304" s="481"/>
      <c r="H304" s="339"/>
      <c r="I304" s="339"/>
      <c r="J304" s="306"/>
      <c r="K304" s="306"/>
      <c r="L304" s="194"/>
      <c r="M304" s="290"/>
      <c r="N304" s="496"/>
      <c r="O304" s="196"/>
      <c r="P304" s="196"/>
    </row>
    <row r="305" spans="1:18" ht="20.25" customHeight="1">
      <c r="A305" s="509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83"/>
      <c r="N305" s="496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399999999999999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0"/>
      <c r="N308" s="291"/>
      <c r="O308" s="196"/>
      <c r="P308" s="196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0"/>
      <c r="N309" s="291"/>
      <c r="O309" s="196"/>
      <c r="P309" s="196"/>
    </row>
    <row r="310" spans="1:18" ht="20.399999999999999">
      <c r="F310" s="306"/>
      <c r="G310" s="306"/>
      <c r="H310" s="306"/>
      <c r="I310" s="194"/>
      <c r="J310" s="194"/>
      <c r="K310" s="194"/>
      <c r="L310" s="194"/>
      <c r="M310" s="290"/>
      <c r="N310" s="496"/>
      <c r="O310" s="196"/>
      <c r="P310" s="196"/>
    </row>
    <row r="311" spans="1:18" ht="20.399999999999999">
      <c r="D311" s="306"/>
      <c r="E311" s="306"/>
      <c r="F311" s="306"/>
      <c r="G311" s="306"/>
      <c r="H311" s="306"/>
      <c r="I311" s="194"/>
      <c r="J311" s="194"/>
      <c r="K311" s="194"/>
      <c r="L311" s="194"/>
      <c r="M311" s="290"/>
      <c r="N311" s="291"/>
      <c r="O311" s="196"/>
      <c r="P311" s="196"/>
    </row>
    <row r="312" spans="1:18" ht="20.399999999999999">
      <c r="F312" s="306"/>
      <c r="G312" s="306"/>
      <c r="H312" s="306"/>
      <c r="I312" s="194"/>
      <c r="J312" s="194"/>
      <c r="K312" s="194"/>
      <c r="L312" s="194"/>
      <c r="M312" s="290"/>
      <c r="N312" s="291"/>
      <c r="O312" s="196"/>
      <c r="P312" s="196"/>
    </row>
    <row r="313" spans="1:18" ht="20.399999999999999">
      <c r="F313" s="306"/>
      <c r="G313" s="306"/>
      <c r="H313" s="306"/>
      <c r="I313" s="194"/>
      <c r="J313" s="194"/>
      <c r="K313" s="194"/>
      <c r="L313" s="194"/>
      <c r="M313" s="290"/>
      <c r="N313" s="291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  <pageSetUpPr fitToPage="1"/>
  </sheetPr>
  <dimension ref="A1:L27"/>
  <sheetViews>
    <sheetView zoomScale="70" zoomScaleNormal="70" workbookViewId="0"/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7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1">
      <c r="B1" s="1"/>
      <c r="C1" s="1"/>
      <c r="D1" s="337" t="str">
        <f>EKPC!J1</f>
        <v>Attachment H-24A</v>
      </c>
    </row>
    <row r="2" spans="1:11">
      <c r="B2" s="1"/>
      <c r="C2" s="1"/>
      <c r="D2" s="168" t="s">
        <v>553</v>
      </c>
    </row>
    <row r="3" spans="1:11">
      <c r="B3" s="483"/>
      <c r="C3" s="17"/>
      <c r="D3" s="168" t="s">
        <v>380</v>
      </c>
    </row>
    <row r="4" spans="1:11" ht="15.6">
      <c r="B4" s="16"/>
      <c r="C4" s="17"/>
      <c r="D4" s="168" t="str">
        <f>EKPC!$J$124</f>
        <v>For the 12 months ended 12/31/2017</v>
      </c>
    </row>
    <row r="5" spans="1:11" ht="15.6">
      <c r="B5" s="16"/>
      <c r="C5" s="17"/>
      <c r="D5" s="17"/>
      <c r="E5" s="168"/>
    </row>
    <row r="6" spans="1:11" ht="15.6">
      <c r="B6" s="832" t="str">
        <f>EKPC!A11</f>
        <v>East Kentucky Power Cooperative, Inc.</v>
      </c>
      <c r="C6" s="832"/>
      <c r="D6" s="832"/>
      <c r="E6" s="741"/>
    </row>
    <row r="7" spans="1:11" ht="15.6">
      <c r="B7" s="832" t="str">
        <f>EKPC!A9</f>
        <v>Utilizing EKPC 2017 Form FF1 Data (ver. FINAL - AUDITED)</v>
      </c>
      <c r="C7" s="832"/>
      <c r="D7" s="832"/>
      <c r="E7" s="336"/>
    </row>
    <row r="8" spans="1:11" ht="15.6">
      <c r="B8" s="16"/>
      <c r="C8" s="168"/>
    </row>
    <row r="9" spans="1:11" ht="15.6">
      <c r="B9" s="16"/>
      <c r="C9" s="6"/>
    </row>
    <row r="10" spans="1:11" ht="15.6">
      <c r="B10" s="16" t="s">
        <v>259</v>
      </c>
      <c r="C10" s="17"/>
    </row>
    <row r="11" spans="1:11" ht="15.6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61" t="s">
        <v>400</v>
      </c>
      <c r="F14" s="545"/>
      <c r="H14" s="545" t="s">
        <v>401</v>
      </c>
      <c r="I14" s="545"/>
    </row>
    <row r="15" spans="1:11" ht="19.2">
      <c r="A15" s="450" t="s">
        <v>188</v>
      </c>
      <c r="B15" s="18"/>
      <c r="C15" s="21" t="s">
        <v>321</v>
      </c>
      <c r="E15" s="797">
        <v>32681143.16</v>
      </c>
      <c r="F15" s="545" t="s">
        <v>322</v>
      </c>
      <c r="H15" s="797">
        <v>28790649.129999999</v>
      </c>
      <c r="I15" s="545" t="s">
        <v>322</v>
      </c>
      <c r="K15" s="707"/>
    </row>
    <row r="16" spans="1:11" ht="19.2">
      <c r="B16" s="18"/>
      <c r="C16" s="21"/>
      <c r="E16" s="797">
        <v>12111929.51</v>
      </c>
      <c r="F16" s="545" t="s">
        <v>323</v>
      </c>
      <c r="H16" s="797">
        <v>10597583.4</v>
      </c>
      <c r="I16" s="545" t="s">
        <v>323</v>
      </c>
      <c r="K16" s="707"/>
    </row>
    <row r="17" spans="1:12">
      <c r="A17" s="447" t="s">
        <v>486</v>
      </c>
      <c r="B17" s="22" t="s">
        <v>396</v>
      </c>
      <c r="C17" s="793">
        <v>18193065.73</v>
      </c>
      <c r="E17" s="776">
        <f>E15-E16</f>
        <v>20569213.649999999</v>
      </c>
      <c r="F17" s="545" t="s">
        <v>324</v>
      </c>
      <c r="H17" s="776">
        <f>H15-H16</f>
        <v>18193065.729999997</v>
      </c>
      <c r="I17" s="545" t="s">
        <v>324</v>
      </c>
      <c r="K17" s="707"/>
    </row>
    <row r="18" spans="1:12" ht="15.6">
      <c r="A18" s="447" t="s">
        <v>206</v>
      </c>
      <c r="B18" s="22" t="s">
        <v>169</v>
      </c>
      <c r="C18" s="301">
        <v>0</v>
      </c>
      <c r="E18" s="298"/>
    </row>
    <row r="19" spans="1:12" ht="16.8">
      <c r="A19" s="447" t="s">
        <v>487</v>
      </c>
      <c r="B19" s="22" t="s">
        <v>170</v>
      </c>
      <c r="C19" s="753">
        <v>0</v>
      </c>
      <c r="E19"/>
      <c r="F19"/>
      <c r="G19"/>
      <c r="H19"/>
      <c r="I19"/>
      <c r="J19"/>
      <c r="K19"/>
      <c r="L19"/>
    </row>
    <row r="20" spans="1:12">
      <c r="A20" s="448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7" t="s">
        <v>488</v>
      </c>
      <c r="B21" s="171" t="s">
        <v>447</v>
      </c>
      <c r="C21" s="699">
        <f>SUM(C17:C20)</f>
        <v>18193065.73</v>
      </c>
      <c r="E21" s="779"/>
      <c r="F21" s="561"/>
      <c r="G21" s="545"/>
      <c r="H21" s="545"/>
      <c r="I21" s="545"/>
      <c r="J21" s="545"/>
      <c r="K21" s="545"/>
      <c r="L21" s="545"/>
    </row>
    <row r="22" spans="1:12" ht="16.2" thickTop="1">
      <c r="B22" s="18"/>
      <c r="C22" s="378"/>
      <c r="E22" s="780"/>
      <c r="F22" s="561"/>
      <c r="G22" s="545"/>
      <c r="H22" s="545"/>
      <c r="I22" s="545"/>
      <c r="J22" s="545"/>
      <c r="K22" s="545"/>
      <c r="L22" s="545"/>
    </row>
    <row r="23" spans="1:12">
      <c r="B23" s="614" t="s">
        <v>393</v>
      </c>
      <c r="C23" s="608"/>
      <c r="D23" s="608"/>
    </row>
    <row r="24" spans="1:12" ht="29.25" customHeight="1">
      <c r="B24" s="837" t="s">
        <v>597</v>
      </c>
      <c r="C24" s="837"/>
      <c r="D24" s="837"/>
      <c r="E24"/>
      <c r="F24"/>
      <c r="G24"/>
      <c r="H24"/>
      <c r="I24"/>
      <c r="J24"/>
      <c r="K24"/>
      <c r="L24"/>
    </row>
    <row r="25" spans="1:12">
      <c r="B25" s="545" t="str">
        <f>CONCATENATE(" (2) To ",EKPC!J1,", page 4 of 5, Line 3")</f>
        <v xml:space="preserve"> (2) To Attachment H-24A, page 4 of 5, Line 3</v>
      </c>
      <c r="C25" s="545"/>
      <c r="E25"/>
      <c r="F25"/>
      <c r="G25"/>
      <c r="H25"/>
      <c r="I25"/>
      <c r="J25"/>
      <c r="K25"/>
      <c r="L25"/>
    </row>
    <row r="27" spans="1:12" ht="15.6">
      <c r="E27" s="380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  <pageSetUpPr fitToPage="1"/>
  </sheetPr>
  <dimension ref="A1:X80"/>
  <sheetViews>
    <sheetView zoomScale="70" zoomScaleNormal="70" workbookViewId="0"/>
  </sheetViews>
  <sheetFormatPr defaultColWidth="7.08984375" defaultRowHeight="15"/>
  <cols>
    <col min="1" max="1" width="7.08984375" style="438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9" bestFit="1" customWidth="1"/>
    <col min="10" max="10" width="7.08984375" style="18"/>
    <col min="11" max="11" width="2.54296875" style="150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37"/>
      <c r="B1" s="1"/>
      <c r="C1" s="1"/>
      <c r="D1" s="1"/>
      <c r="E1" s="1"/>
      <c r="F1" s="337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7"/>
      <c r="B2" s="1"/>
      <c r="C2" s="1"/>
      <c r="D2" s="1"/>
      <c r="E2" s="1"/>
      <c r="F2" s="168" t="s">
        <v>553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7"/>
      <c r="B3"/>
      <c r="C3"/>
      <c r="D3" s="17"/>
      <c r="E3" s="17"/>
      <c r="F3" s="168" t="s">
        <v>379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7.399999999999999">
      <c r="A4" s="437"/>
      <c r="B4" s="25"/>
      <c r="C4" s="25"/>
      <c r="D4" s="17"/>
      <c r="E4" s="17"/>
      <c r="F4" s="168" t="str">
        <f>EKPC!$J$124</f>
        <v>For the 12 months ended 12/31/2017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7.399999999999999">
      <c r="A5" s="437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6">
      <c r="A6" s="437"/>
      <c r="B6" s="832" t="str">
        <f>EKPC!A11</f>
        <v>East Kentucky Power Cooperative, Inc.</v>
      </c>
      <c r="C6" s="832"/>
      <c r="D6" s="832"/>
      <c r="E6" s="832"/>
      <c r="F6" s="832"/>
      <c r="H6" s="754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6">
      <c r="A7" s="437"/>
      <c r="B7" s="832" t="str">
        <f>EKPC!A9</f>
        <v>Utilizing EKPC 2017 Form FF1 Data (ver. FINAL - AUDITED)</v>
      </c>
      <c r="C7" s="832"/>
      <c r="D7" s="832"/>
      <c r="E7" s="832"/>
      <c r="F7" s="832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6">
      <c r="A8" s="437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6">
      <c r="A9" s="437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6">
      <c r="A10" s="437"/>
      <c r="B10" s="16" t="s">
        <v>533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6">
      <c r="B12" s="19"/>
      <c r="C12" s="19"/>
      <c r="D12" s="19"/>
    </row>
    <row r="13" spans="1:24" ht="19.2">
      <c r="A13" s="440"/>
      <c r="E13" s="79" t="s">
        <v>112</v>
      </c>
      <c r="F13" s="152"/>
      <c r="G13" s="152"/>
      <c r="H13" s="152"/>
      <c r="J13" s="153"/>
    </row>
    <row r="14" spans="1:24" ht="19.2">
      <c r="A14" s="451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1">
        <v>1</v>
      </c>
      <c r="B15" s="553" t="s">
        <v>529</v>
      </c>
      <c r="C15" s="426"/>
      <c r="D15" s="155"/>
      <c r="E15" s="798">
        <v>851161118</v>
      </c>
      <c r="G15" s="576"/>
      <c r="H15" s="576"/>
      <c r="I15" s="350"/>
      <c r="J15" s="350"/>
      <c r="K15"/>
      <c r="L15" s="569"/>
      <c r="M15" s="576"/>
      <c r="N15" s="576"/>
      <c r="O15" s="576"/>
      <c r="P15" s="576"/>
      <c r="Q15" s="576"/>
      <c r="R15"/>
    </row>
    <row r="16" spans="1:24">
      <c r="A16" s="441"/>
      <c r="B16" s="297"/>
      <c r="G16" s="576"/>
      <c r="H16" s="576"/>
      <c r="I16" s="350"/>
      <c r="J16" s="350"/>
      <c r="K16"/>
      <c r="L16"/>
      <c r="M16"/>
      <c r="N16"/>
      <c r="O16"/>
      <c r="P16"/>
      <c r="Q16"/>
      <c r="R16"/>
    </row>
    <row r="17" spans="1:18">
      <c r="A17" s="441">
        <v>2</v>
      </c>
      <c r="B17" s="297" t="s">
        <v>213</v>
      </c>
      <c r="C17" s="441"/>
      <c r="E17" s="722">
        <v>0</v>
      </c>
      <c r="G17" s="576"/>
      <c r="H17" s="576"/>
      <c r="I17" s="350"/>
      <c r="J17" s="350"/>
      <c r="K17"/>
      <c r="L17"/>
      <c r="M17"/>
      <c r="N17"/>
      <c r="O17"/>
      <c r="P17"/>
      <c r="Q17"/>
      <c r="R17"/>
    </row>
    <row r="18" spans="1:18">
      <c r="A18" s="441"/>
      <c r="B18" s="297"/>
      <c r="C18" s="441"/>
      <c r="E18" s="82"/>
      <c r="G18" s="576"/>
      <c r="H18" s="576"/>
      <c r="I18" s="350"/>
      <c r="J18" s="350"/>
      <c r="K18"/>
      <c r="L18"/>
      <c r="M18"/>
      <c r="N18"/>
      <c r="O18"/>
      <c r="P18"/>
      <c r="Q18"/>
      <c r="R18"/>
    </row>
    <row r="19" spans="1:18">
      <c r="A19" s="441">
        <v>3</v>
      </c>
      <c r="B19" s="561" t="s">
        <v>490</v>
      </c>
      <c r="C19" s="442" t="s">
        <v>476</v>
      </c>
      <c r="E19" s="719">
        <v>159299</v>
      </c>
      <c r="G19" s="576"/>
      <c r="H19" s="576"/>
      <c r="I19" s="350"/>
      <c r="J19" s="350"/>
      <c r="K19"/>
      <c r="L19"/>
      <c r="M19"/>
      <c r="N19"/>
      <c r="O19"/>
      <c r="P19"/>
      <c r="Q19"/>
      <c r="R19"/>
    </row>
    <row r="20" spans="1:18">
      <c r="A20" s="441">
        <v>4</v>
      </c>
      <c r="B20" s="297" t="s">
        <v>316</v>
      </c>
      <c r="C20" s="441"/>
      <c r="E20" s="755">
        <v>1</v>
      </c>
      <c r="G20" s="576"/>
      <c r="H20" s="576"/>
      <c r="I20" s="350"/>
      <c r="J20" s="350"/>
      <c r="K20"/>
      <c r="L20"/>
      <c r="M20"/>
      <c r="N20"/>
      <c r="O20"/>
      <c r="P20"/>
      <c r="Q20"/>
      <c r="R20"/>
    </row>
    <row r="21" spans="1:18" ht="16.8">
      <c r="A21" s="441">
        <v>5</v>
      </c>
      <c r="B21" s="555" t="str">
        <f>CONCATENATE("  Revenue Credit Applicable to ", EKPC!J1)</f>
        <v xml:space="preserve">  Revenue Credit Applicable to Attachment H-24A</v>
      </c>
      <c r="C21" s="441"/>
      <c r="D21" s="156"/>
      <c r="E21" s="158">
        <f>ROUND(E19*E20,0)+E17</f>
        <v>159299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41"/>
      <c r="B22" s="297"/>
      <c r="C22" s="441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41"/>
      <c r="B23" s="297"/>
      <c r="C23" s="441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41">
        <v>6</v>
      </c>
      <c r="B24" s="554" t="s">
        <v>493</v>
      </c>
      <c r="C24" s="443" t="s">
        <v>475</v>
      </c>
      <c r="E24" s="158">
        <f>E23+E21</f>
        <v>159299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41"/>
      <c r="C25" s="441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41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41"/>
      <c r="C27" s="441"/>
      <c r="E27" s="79" t="s">
        <v>404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41"/>
      <c r="C28" s="441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41">
        <v>7</v>
      </c>
      <c r="B29" s="176" t="s">
        <v>593</v>
      </c>
      <c r="C29" s="444" t="s">
        <v>478</v>
      </c>
      <c r="D29" s="22"/>
      <c r="E29" s="793">
        <v>15555349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41"/>
      <c r="B30" s="22" t="s">
        <v>252</v>
      </c>
      <c r="C30" s="443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41">
        <v>8</v>
      </c>
      <c r="B31" s="155" t="s">
        <v>591</v>
      </c>
      <c r="C31" s="443"/>
      <c r="D31" s="155"/>
      <c r="E31" s="799">
        <f>11447910+10069+12862+469730.05</f>
        <v>11940571.050000001</v>
      </c>
      <c r="G31" s="569"/>
      <c r="H31" s="576"/>
      <c r="I31" s="350"/>
      <c r="J31" s="350"/>
      <c r="K31" s="350"/>
      <c r="L31" s="350"/>
      <c r="M31" s="350"/>
      <c r="N31" s="350"/>
      <c r="O31" s="350"/>
      <c r="P31" s="350"/>
      <c r="Q31" s="350"/>
      <c r="R31"/>
    </row>
    <row r="32" spans="1:18" ht="15.6">
      <c r="A32" s="441">
        <v>9</v>
      </c>
      <c r="B32" s="155" t="s">
        <v>374</v>
      </c>
      <c r="C32" s="443"/>
      <c r="D32" s="155"/>
      <c r="E32" s="719">
        <v>0</v>
      </c>
      <c r="G32" s="576"/>
      <c r="H32" s="576"/>
      <c r="I32" s="350"/>
      <c r="J32" s="350"/>
      <c r="K32" s="350"/>
      <c r="L32" s="350"/>
      <c r="M32" s="350"/>
      <c r="N32" s="350"/>
      <c r="O32" s="350"/>
      <c r="P32" s="350"/>
      <c r="Q32" s="350"/>
      <c r="R32"/>
    </row>
    <row r="33" spans="1:18">
      <c r="A33" s="441">
        <v>10</v>
      </c>
      <c r="B33" s="155" t="s">
        <v>150</v>
      </c>
      <c r="C33" s="443"/>
      <c r="D33" s="155"/>
      <c r="E33" s="719">
        <v>0</v>
      </c>
      <c r="G33" s="576"/>
      <c r="H33" s="576"/>
      <c r="I33" s="350"/>
      <c r="J33" s="350"/>
      <c r="K33" s="350"/>
      <c r="L33" s="350"/>
      <c r="M33" s="350"/>
      <c r="N33" s="350"/>
      <c r="O33" s="350"/>
      <c r="P33" s="350"/>
      <c r="Q33" s="350"/>
      <c r="R33"/>
    </row>
    <row r="34" spans="1:18">
      <c r="A34" s="441">
        <v>11</v>
      </c>
      <c r="B34" s="155" t="s">
        <v>576</v>
      </c>
      <c r="C34" s="443"/>
      <c r="D34" s="155"/>
      <c r="E34" s="719">
        <f>43200+54870.96</f>
        <v>98070.959999999992</v>
      </c>
      <c r="G34" s="569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/>
    </row>
    <row r="35" spans="1:18" ht="16.8">
      <c r="A35" s="441">
        <v>12</v>
      </c>
      <c r="B35" s="155" t="s">
        <v>577</v>
      </c>
      <c r="C35" s="443"/>
      <c r="D35" s="155"/>
      <c r="E35" s="800">
        <v>600</v>
      </c>
      <c r="G35" s="569"/>
      <c r="H35" s="463"/>
      <c r="I35" s="463"/>
      <c r="J35" s="463"/>
      <c r="K35" s="463"/>
      <c r="L35" s="463"/>
      <c r="M35" s="463"/>
      <c r="N35" s="463"/>
      <c r="O35" s="463"/>
      <c r="P35" s="350"/>
      <c r="Q35" s="350"/>
      <c r="R35"/>
    </row>
    <row r="36" spans="1:18" ht="16.8">
      <c r="A36" s="441">
        <v>13</v>
      </c>
      <c r="B36" s="176" t="s">
        <v>376</v>
      </c>
      <c r="C36" s="444"/>
      <c r="D36" s="155"/>
      <c r="E36" s="158">
        <f>E29-SUM(E31:E35)</f>
        <v>3516106.9899999984</v>
      </c>
      <c r="G36" s="576"/>
      <c r="H36" s="576"/>
      <c r="I36" s="350"/>
      <c r="J36" s="350"/>
      <c r="K36" s="350"/>
      <c r="L36" s="350"/>
      <c r="M36" s="350"/>
      <c r="N36" s="350"/>
      <c r="O36" s="350"/>
      <c r="P36" s="350"/>
      <c r="Q36" s="350"/>
      <c r="R36"/>
    </row>
    <row r="37" spans="1:18">
      <c r="A37" s="441"/>
      <c r="C37" s="441"/>
      <c r="D37" s="155"/>
      <c r="E37" s="82"/>
      <c r="G37" s="576"/>
      <c r="H37" s="576"/>
      <c r="I37" s="350"/>
      <c r="J37" s="350"/>
      <c r="K37" s="350"/>
      <c r="L37" s="350"/>
      <c r="M37" s="350"/>
      <c r="N37" s="350"/>
      <c r="O37" s="350"/>
      <c r="P37" s="350"/>
      <c r="Q37" s="350"/>
      <c r="R37"/>
    </row>
    <row r="38" spans="1:18" ht="16.8">
      <c r="A38" s="441">
        <v>14</v>
      </c>
      <c r="B38" s="82" t="s">
        <v>470</v>
      </c>
      <c r="C38" s="442"/>
      <c r="E38" s="801">
        <v>3143603.46</v>
      </c>
      <c r="G38" s="576"/>
      <c r="H38" s="576"/>
      <c r="I38" s="350"/>
      <c r="J38" s="350"/>
      <c r="K38" s="350"/>
      <c r="L38" s="350"/>
      <c r="M38" s="350"/>
      <c r="N38" s="350"/>
      <c r="O38" s="350"/>
      <c r="P38" s="350"/>
      <c r="Q38" s="350"/>
      <c r="R38"/>
    </row>
    <row r="39" spans="1:18">
      <c r="A39" s="441"/>
      <c r="C39" s="441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41">
        <v>15</v>
      </c>
      <c r="B40" s="155" t="s">
        <v>594</v>
      </c>
      <c r="C40" s="443"/>
      <c r="E40" s="158">
        <f>E36-E38</f>
        <v>372503.5299999984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41"/>
      <c r="C41" s="441"/>
      <c r="E41" s="82"/>
      <c r="H41" s="173"/>
      <c r="I41" s="300"/>
      <c r="J41" s="173"/>
    </row>
    <row r="42" spans="1:18">
      <c r="A42" s="441"/>
      <c r="C42" s="441"/>
      <c r="E42" s="82"/>
      <c r="H42" s="173"/>
      <c r="I42" s="300"/>
      <c r="J42" s="173"/>
    </row>
    <row r="43" spans="1:18" ht="15.6">
      <c r="A43" s="441"/>
      <c r="C43" s="441"/>
      <c r="E43" s="685" t="s">
        <v>403</v>
      </c>
      <c r="G43" s="82"/>
      <c r="H43" s="175"/>
      <c r="I43" s="464"/>
      <c r="J43" s="175"/>
      <c r="K43" s="157"/>
    </row>
    <row r="44" spans="1:18" ht="15.6">
      <c r="A44" s="441">
        <v>16</v>
      </c>
      <c r="B44" s="18" t="s">
        <v>611</v>
      </c>
      <c r="C44" s="441" t="s">
        <v>492</v>
      </c>
      <c r="E44" s="802">
        <v>126610.5</v>
      </c>
      <c r="G44" s="512"/>
      <c r="H44" s="175"/>
      <c r="I44" s="464"/>
      <c r="J44" s="175"/>
      <c r="K44" s="569"/>
    </row>
    <row r="45" spans="1:18" ht="15.6">
      <c r="A45" s="441"/>
      <c r="C45" s="441"/>
      <c r="E45" s="382"/>
      <c r="G45" s="82"/>
      <c r="H45" s="175"/>
      <c r="I45" s="464"/>
      <c r="J45" s="175"/>
      <c r="K45" s="569"/>
    </row>
    <row r="46" spans="1:18" ht="15.6">
      <c r="A46" s="441">
        <v>17</v>
      </c>
      <c r="B46" s="18" t="s">
        <v>491</v>
      </c>
      <c r="C46" s="441" t="s">
        <v>598</v>
      </c>
      <c r="E46" s="436">
        <f>E40-E44</f>
        <v>245893.0299999984</v>
      </c>
      <c r="G46" s="82"/>
      <c r="H46" s="82"/>
      <c r="I46" s="464"/>
      <c r="J46" s="175"/>
      <c r="K46" s="569"/>
    </row>
    <row r="47" spans="1:18" ht="15.6">
      <c r="E47" s="382"/>
      <c r="G47" s="82"/>
      <c r="H47" s="175"/>
      <c r="I47" s="464"/>
      <c r="J47" s="175"/>
      <c r="K47" s="569"/>
    </row>
    <row r="48" spans="1:18">
      <c r="G48" s="175"/>
      <c r="H48" s="82"/>
      <c r="I48" s="464"/>
      <c r="J48" s="175"/>
      <c r="K48" s="569"/>
    </row>
    <row r="49" spans="1:24">
      <c r="B49" s="379" t="s">
        <v>393</v>
      </c>
      <c r="C49" s="379"/>
      <c r="D49" s="155"/>
      <c r="F49" s="159"/>
      <c r="G49" s="175"/>
      <c r="H49" s="82"/>
      <c r="I49" s="301"/>
      <c r="J49" s="82"/>
      <c r="K49" s="569"/>
    </row>
    <row r="50" spans="1:24">
      <c r="B50" s="546" t="s">
        <v>639</v>
      </c>
      <c r="C50" s="546"/>
      <c r="D50" s="155"/>
      <c r="E50" s="173"/>
      <c r="F50" s="174"/>
      <c r="G50" s="175"/>
      <c r="H50" s="175"/>
      <c r="I50" s="464"/>
      <c r="J50" s="175"/>
      <c r="K50" s="567"/>
      <c r="L50" s="175"/>
      <c r="M50" s="175"/>
    </row>
    <row r="51" spans="1:24" s="173" customFormat="1">
      <c r="A51" s="439"/>
      <c r="B51" s="547" t="str">
        <f>CONCATENATE("(2) To ",EKPC!J1,", Page 4 of 5, line 34")</f>
        <v>(2) To Attachment H-24A, Page 4 of 5, line 34</v>
      </c>
      <c r="C51" s="547"/>
      <c r="D51" s="155"/>
      <c r="F51" s="174"/>
      <c r="G51" s="175"/>
      <c r="H51" s="175"/>
      <c r="I51" s="464"/>
      <c r="J51" s="175"/>
      <c r="K51" s="567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9"/>
      <c r="B52" s="838" t="s">
        <v>610</v>
      </c>
      <c r="C52" s="838"/>
      <c r="D52" s="838"/>
      <c r="E52" s="838"/>
      <c r="F52" s="174"/>
      <c r="G52" s="175"/>
      <c r="H52" s="175"/>
      <c r="I52" s="464"/>
      <c r="J52" s="175"/>
      <c r="K52" s="567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8" t="str">
        <f>CONCATENATE("(4) Revenue from AEP GFA Account 456101- to ",EKPC!J1,", Page 1 of 5, Line 4.")</f>
        <v>(4) Revenue from AEP GFA Account 456101- to Attachment H-24A, Page 1 of 5, Line 4.</v>
      </c>
      <c r="C53" s="548"/>
      <c r="D53" s="82"/>
      <c r="E53" s="80"/>
      <c r="F53" s="82"/>
      <c r="G53" s="82"/>
      <c r="H53" s="82"/>
      <c r="I53" s="301"/>
      <c r="J53" s="82"/>
      <c r="K53" s="157"/>
    </row>
    <row r="54" spans="1:24" ht="15.6">
      <c r="B54" s="549" t="str">
        <f>CONCATENATE("(5) To ",EKPC!J1,", Page 4 of 5, Line 35")</f>
        <v>(5) To Attachment H-24A, Page 4 of 5, Line 35</v>
      </c>
      <c r="C54" s="549"/>
      <c r="D54" s="184"/>
      <c r="E54" s="170"/>
      <c r="F54" s="82"/>
      <c r="G54" s="185"/>
      <c r="H54" s="82"/>
      <c r="I54" s="301"/>
      <c r="J54" s="82"/>
      <c r="K54" s="157"/>
    </row>
    <row r="55" spans="1:24" ht="15.6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6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6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6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6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6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6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6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6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6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6.8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6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6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6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6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6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6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6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6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6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6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6.8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V48"/>
  <sheetViews>
    <sheetView zoomScale="70" zoomScaleNormal="70" workbookViewId="0"/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7" customFormat="1" ht="15" customHeight="1">
      <c r="A1" s="437"/>
      <c r="B1" s="1"/>
      <c r="C1" s="1"/>
      <c r="D1" s="1"/>
      <c r="E1" s="1"/>
      <c r="F1" s="688"/>
      <c r="G1" s="337" t="str">
        <f>EKPC!J1</f>
        <v>Attachment H-24A</v>
      </c>
      <c r="H1" s="332"/>
      <c r="K1"/>
      <c r="L1"/>
      <c r="M1"/>
      <c r="N1"/>
      <c r="O1"/>
      <c r="P1"/>
      <c r="Q1"/>
      <c r="R1"/>
      <c r="S1"/>
    </row>
    <row r="2" spans="1:19" s="177" customFormat="1" ht="15" customHeight="1">
      <c r="A2" s="437"/>
      <c r="B2" s="1"/>
      <c r="C2" s="1"/>
      <c r="D2" s="1"/>
      <c r="E2" s="1"/>
      <c r="F2" s="688"/>
      <c r="G2" s="168" t="s">
        <v>553</v>
      </c>
      <c r="H2" s="325"/>
      <c r="K2"/>
      <c r="L2"/>
      <c r="M2"/>
      <c r="N2"/>
      <c r="O2"/>
      <c r="P2"/>
      <c r="Q2"/>
      <c r="R2"/>
      <c r="S2"/>
    </row>
    <row r="3" spans="1:19" s="177" customFormat="1" ht="15">
      <c r="A3" s="437"/>
      <c r="B3" s="568"/>
      <c r="C3" s="568"/>
      <c r="D3" s="17"/>
      <c r="E3" s="17"/>
      <c r="F3" s="688"/>
      <c r="G3" s="508" t="s">
        <v>377</v>
      </c>
      <c r="H3" s="325"/>
      <c r="K3"/>
      <c r="L3"/>
      <c r="M3"/>
      <c r="N3"/>
      <c r="O3"/>
      <c r="P3"/>
      <c r="Q3"/>
      <c r="R3"/>
      <c r="S3"/>
    </row>
    <row r="4" spans="1:19" s="177" customFormat="1" ht="15.6">
      <c r="A4" s="437"/>
      <c r="B4" s="16"/>
      <c r="C4" s="16"/>
      <c r="D4" s="17"/>
      <c r="E4" s="17"/>
      <c r="F4" s="688"/>
      <c r="G4" s="168" t="str">
        <f>EKPC!$J$124</f>
        <v>For the 12 months ended 12/31/2017</v>
      </c>
      <c r="H4" s="325"/>
      <c r="K4"/>
      <c r="L4"/>
      <c r="M4"/>
      <c r="N4"/>
      <c r="O4"/>
      <c r="P4"/>
      <c r="Q4"/>
      <c r="R4"/>
      <c r="S4"/>
    </row>
    <row r="5" spans="1:19" ht="15.6">
      <c r="A5" s="437"/>
      <c r="B5" s="16"/>
      <c r="C5" s="16"/>
      <c r="D5" s="17"/>
      <c r="E5" s="17"/>
      <c r="F5" s="168"/>
      <c r="G5" s="689"/>
      <c r="K5"/>
      <c r="L5"/>
      <c r="M5"/>
      <c r="N5"/>
      <c r="O5"/>
      <c r="P5"/>
      <c r="Q5"/>
      <c r="R5"/>
      <c r="S5"/>
    </row>
    <row r="6" spans="1:19" ht="15">
      <c r="A6" s="437"/>
      <c r="B6" s="831" t="str">
        <f>EKPC!A11</f>
        <v>East Kentucky Power Cooperative, Inc.</v>
      </c>
      <c r="C6" s="831"/>
      <c r="D6" s="831"/>
      <c r="E6" s="831"/>
      <c r="F6" s="831"/>
      <c r="G6" s="508"/>
      <c r="J6" s="741"/>
      <c r="K6"/>
      <c r="L6"/>
      <c r="M6"/>
      <c r="N6"/>
      <c r="O6"/>
      <c r="P6"/>
      <c r="Q6"/>
      <c r="R6"/>
      <c r="S6"/>
    </row>
    <row r="7" spans="1:19" ht="15">
      <c r="A7" s="437"/>
      <c r="B7" s="831" t="str">
        <f>EKPC!A9</f>
        <v>Utilizing EKPC 2017 Form FF1 Data (ver. FINAL - AUDITED)</v>
      </c>
      <c r="C7" s="831"/>
      <c r="D7" s="831"/>
      <c r="E7" s="831"/>
      <c r="F7" s="831"/>
      <c r="G7" s="508"/>
      <c r="K7"/>
      <c r="L7"/>
      <c r="M7"/>
      <c r="N7"/>
      <c r="O7"/>
      <c r="P7"/>
      <c r="Q7"/>
      <c r="R7"/>
      <c r="S7"/>
    </row>
    <row r="8" spans="1:19" ht="15">
      <c r="A8" s="689"/>
      <c r="B8" s="689"/>
      <c r="C8" s="689"/>
      <c r="D8" s="690"/>
      <c r="E8" s="689"/>
      <c r="F8" s="689"/>
      <c r="G8" s="508"/>
      <c r="K8"/>
      <c r="L8"/>
      <c r="M8"/>
      <c r="N8"/>
      <c r="O8"/>
      <c r="P8"/>
      <c r="Q8"/>
      <c r="R8"/>
      <c r="S8"/>
    </row>
    <row r="9" spans="1:19" ht="15">
      <c r="A9" s="842" t="s">
        <v>3</v>
      </c>
      <c r="B9" s="842"/>
      <c r="C9" s="842"/>
      <c r="D9" s="842"/>
      <c r="E9" s="842"/>
      <c r="F9" s="842"/>
      <c r="G9" s="601"/>
      <c r="H9" s="333"/>
      <c r="K9"/>
      <c r="L9"/>
      <c r="M9"/>
      <c r="N9"/>
      <c r="O9"/>
      <c r="P9"/>
      <c r="Q9"/>
      <c r="R9"/>
      <c r="S9"/>
    </row>
    <row r="10" spans="1:19" ht="15">
      <c r="A10" s="830" t="str">
        <f>CONCATENATE("As of December 31, ",TEXT(RIGHT(EKPC!J7,10),"YYYY"))</f>
        <v>As of December 31, 2017</v>
      </c>
      <c r="B10" s="830"/>
      <c r="C10" s="830"/>
      <c r="D10" s="830"/>
      <c r="E10" s="830"/>
      <c r="F10" s="830"/>
      <c r="G10" s="602"/>
      <c r="H10" s="334"/>
      <c r="K10"/>
      <c r="L10"/>
      <c r="M10"/>
      <c r="N10"/>
      <c r="O10"/>
      <c r="P10"/>
      <c r="Q10"/>
      <c r="R10"/>
      <c r="S10"/>
    </row>
    <row r="11" spans="1:19" ht="15">
      <c r="A11" s="843" t="s">
        <v>214</v>
      </c>
      <c r="B11" s="843"/>
      <c r="C11" s="843"/>
      <c r="D11" s="843"/>
      <c r="E11" s="843"/>
      <c r="F11" s="843"/>
      <c r="G11" s="691"/>
      <c r="H11" s="482"/>
      <c r="K11"/>
      <c r="L11"/>
      <c r="M11"/>
      <c r="N11"/>
      <c r="O11"/>
      <c r="P11"/>
      <c r="Q11"/>
      <c r="R11"/>
      <c r="S11"/>
    </row>
    <row r="12" spans="1:19" ht="15">
      <c r="A12" s="691"/>
      <c r="B12" s="691"/>
      <c r="C12" s="691"/>
      <c r="D12" s="691"/>
      <c r="E12" s="691"/>
      <c r="F12" s="691"/>
      <c r="G12" s="1"/>
      <c r="H12" s="483"/>
      <c r="I12" s="483"/>
      <c r="K12"/>
      <c r="L12"/>
      <c r="M12"/>
      <c r="N12"/>
      <c r="O12"/>
      <c r="P12"/>
      <c r="Q12"/>
      <c r="R12"/>
      <c r="S12"/>
    </row>
    <row r="13" spans="1:19" ht="15">
      <c r="A13" s="689"/>
      <c r="B13" s="689"/>
      <c r="C13" s="689"/>
      <c r="D13" s="690"/>
      <c r="E13" s="689"/>
      <c r="F13" s="689"/>
      <c r="G13" s="1"/>
      <c r="H13" s="483"/>
      <c r="I13" s="483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83"/>
      <c r="I14" s="483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83"/>
      <c r="I15" s="483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83"/>
      <c r="I16" s="483"/>
      <c r="K16"/>
      <c r="L16"/>
      <c r="M16"/>
      <c r="N16"/>
      <c r="O16"/>
      <c r="P16"/>
      <c r="Q16"/>
      <c r="R16"/>
      <c r="S16"/>
    </row>
    <row r="17" spans="1:22" ht="15.6">
      <c r="A17" s="311"/>
      <c r="B17" s="841" t="s">
        <v>346</v>
      </c>
      <c r="C17" s="841"/>
      <c r="D17" s="315"/>
      <c r="E17" s="316"/>
      <c r="F17" s="312"/>
      <c r="G17" s="1"/>
      <c r="H17" s="483"/>
      <c r="I17" s="483"/>
    </row>
    <row r="18" spans="1:22" ht="15">
      <c r="A18" s="311">
        <v>1</v>
      </c>
      <c r="B18" s="571" t="s">
        <v>426</v>
      </c>
      <c r="C18" s="803">
        <v>114915472</v>
      </c>
      <c r="D18" s="316"/>
      <c r="E18" s="316"/>
      <c r="F18" s="312"/>
      <c r="G18" s="1"/>
      <c r="H18" s="483"/>
      <c r="I18" s="483"/>
    </row>
    <row r="19" spans="1:22" ht="15">
      <c r="A19" s="311">
        <f>A18+1</f>
        <v>2</v>
      </c>
      <c r="B19" s="571" t="s">
        <v>427</v>
      </c>
      <c r="C19" s="803">
        <v>2468515698</v>
      </c>
      <c r="D19" s="316"/>
      <c r="E19" s="316"/>
      <c r="F19" s="312"/>
      <c r="G19" s="1"/>
      <c r="H19" s="483"/>
      <c r="I19" s="483"/>
    </row>
    <row r="20" spans="1:22" ht="15.6">
      <c r="A20" s="311">
        <f>A19+1</f>
        <v>3</v>
      </c>
      <c r="B20" s="505" t="s">
        <v>347</v>
      </c>
      <c r="C20" s="686">
        <f>C18/C19</f>
        <v>4.6552457451700599E-2</v>
      </c>
      <c r="D20" s="316"/>
      <c r="E20" s="316"/>
      <c r="F20" s="312"/>
      <c r="G20" s="1"/>
      <c r="H20" s="483"/>
      <c r="I20" s="483"/>
    </row>
    <row r="21" spans="1:22" ht="15">
      <c r="A21" s="311"/>
      <c r="B21" s="571"/>
      <c r="C21" s="167"/>
      <c r="D21" s="316"/>
      <c r="E21" s="316"/>
      <c r="F21" s="312"/>
      <c r="G21" s="1"/>
      <c r="H21" s="483"/>
      <c r="I21" s="483"/>
    </row>
    <row r="22" spans="1:22" ht="15.6">
      <c r="A22" s="311"/>
      <c r="B22" s="839" t="s">
        <v>386</v>
      </c>
      <c r="C22" s="839"/>
      <c r="D22" s="312"/>
      <c r="E22" s="312"/>
      <c r="F22" s="312"/>
      <c r="G22" s="1"/>
      <c r="H22" s="483"/>
      <c r="I22" s="483"/>
    </row>
    <row r="23" spans="1:22" s="91" customFormat="1" ht="15.6">
      <c r="A23" s="692"/>
      <c r="B23" s="692"/>
      <c r="C23" s="39" t="s">
        <v>348</v>
      </c>
      <c r="D23" s="317" t="s">
        <v>349</v>
      </c>
      <c r="E23" s="317" t="s">
        <v>428</v>
      </c>
      <c r="F23" s="317" t="s">
        <v>350</v>
      </c>
      <c r="G23" s="1"/>
      <c r="H23" s="483"/>
      <c r="I23" s="483"/>
    </row>
    <row r="24" spans="1:22" ht="15">
      <c r="A24" s="311">
        <f>A20+1</f>
        <v>4</v>
      </c>
      <c r="B24" s="571" t="s">
        <v>351</v>
      </c>
      <c r="C24" s="718">
        <f>C19</f>
        <v>2468515698</v>
      </c>
      <c r="D24" s="356">
        <f>C24/C26</f>
        <v>0.80121621738621807</v>
      </c>
      <c r="E24" s="318">
        <f>C20</f>
        <v>4.6552457451700599E-2</v>
      </c>
      <c r="F24" s="357">
        <f>D24*E24</f>
        <v>3.7298583869484411E-2</v>
      </c>
      <c r="G24" s="1"/>
      <c r="H24" s="483"/>
      <c r="I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</row>
    <row r="25" spans="1:22" ht="15.6" thickBot="1">
      <c r="A25" s="311">
        <f t="shared" ref="A25:A26" si="0">A24+1</f>
        <v>5</v>
      </c>
      <c r="B25" s="589" t="s">
        <v>423</v>
      </c>
      <c r="C25" s="804">
        <v>612445027</v>
      </c>
      <c r="D25" s="356">
        <f>C25/C26</f>
        <v>0.19878378261378193</v>
      </c>
      <c r="E25" s="484">
        <f>((C20*J28)-F24)/D25</f>
        <v>0.16364565499424763</v>
      </c>
      <c r="F25" s="358">
        <f>D25*E25</f>
        <v>3.253010230806648E-2</v>
      </c>
      <c r="G25" s="568"/>
      <c r="H25" s="483"/>
      <c r="I25" s="483"/>
      <c r="J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</row>
    <row r="26" spans="1:22" s="91" customFormat="1" ht="21" customHeight="1" thickTop="1">
      <c r="A26" s="311">
        <f t="shared" si="0"/>
        <v>6</v>
      </c>
      <c r="B26" s="589" t="s">
        <v>387</v>
      </c>
      <c r="C26" s="687">
        <f>C24+C25</f>
        <v>3080960725</v>
      </c>
      <c r="D26" s="693"/>
      <c r="E26" s="693"/>
      <c r="F26" s="393">
        <f>SUM(F24:F25)</f>
        <v>6.9828686177550892E-2</v>
      </c>
      <c r="G26" s="619"/>
      <c r="H26" s="392"/>
      <c r="I26" s="391"/>
      <c r="J26" s="391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</row>
    <row r="27" spans="1:22" ht="15.6">
      <c r="A27" s="689"/>
      <c r="B27" s="359"/>
      <c r="C27" s="361"/>
      <c r="D27" s="619"/>
      <c r="E27" s="619"/>
      <c r="F27" s="619"/>
      <c r="G27" s="619"/>
      <c r="H27" s="391"/>
      <c r="I27" s="703"/>
      <c r="J27" s="703"/>
      <c r="L27" s="704"/>
      <c r="M27" s="704"/>
      <c r="N27" s="704"/>
      <c r="O27" s="483"/>
      <c r="P27" s="483"/>
      <c r="Q27" s="483"/>
      <c r="R27" s="483"/>
      <c r="S27" s="483"/>
      <c r="T27" s="483"/>
      <c r="U27" s="483"/>
      <c r="V27" s="483"/>
    </row>
    <row r="28" spans="1:22" ht="15.6">
      <c r="A28" s="311">
        <f>A26+1</f>
        <v>7</v>
      </c>
      <c r="B28" s="600" t="s">
        <v>425</v>
      </c>
      <c r="C28" s="360"/>
      <c r="D28" s="619"/>
      <c r="E28" s="317" t="s">
        <v>389</v>
      </c>
      <c r="F28" s="394">
        <f>F26/E24</f>
        <v>1.4999999999999998</v>
      </c>
      <c r="G28" s="619"/>
      <c r="H28" s="391"/>
      <c r="I28" s="571" t="s">
        <v>424</v>
      </c>
      <c r="J28" s="777">
        <v>1.5</v>
      </c>
      <c r="L28" s="704"/>
      <c r="M28" s="704"/>
      <c r="N28" s="704"/>
      <c r="O28" s="483"/>
      <c r="P28" s="483"/>
      <c r="Q28" s="483"/>
      <c r="R28" s="483"/>
      <c r="S28" s="483"/>
      <c r="T28" s="483"/>
      <c r="U28" s="483"/>
      <c r="V28" s="483"/>
    </row>
    <row r="29" spans="1:22" ht="15">
      <c r="A29" s="311"/>
      <c r="B29" s="690"/>
      <c r="C29" s="690"/>
      <c r="D29" s="315"/>
      <c r="E29" s="312"/>
      <c r="F29" s="312"/>
      <c r="G29" s="1"/>
      <c r="H29" s="483"/>
      <c r="I29" s="704"/>
      <c r="L29" s="704"/>
      <c r="M29" s="704"/>
      <c r="N29" s="704"/>
      <c r="O29" s="483"/>
      <c r="P29" s="483"/>
      <c r="Q29" s="483"/>
      <c r="R29" s="483"/>
      <c r="S29" s="483"/>
      <c r="T29" s="483"/>
      <c r="U29" s="483"/>
      <c r="V29" s="483"/>
    </row>
    <row r="30" spans="1:22" ht="15.6">
      <c r="A30" s="690"/>
      <c r="B30" s="840"/>
      <c r="C30" s="840"/>
      <c r="D30" s="690"/>
      <c r="E30" s="690"/>
      <c r="F30" s="689"/>
      <c r="G30" s="1"/>
      <c r="H30" s="483"/>
      <c r="I30" s="704"/>
      <c r="L30" s="704"/>
      <c r="M30" s="704"/>
      <c r="N30" s="704"/>
      <c r="O30" s="483"/>
      <c r="P30" s="483"/>
      <c r="Q30" s="483"/>
      <c r="R30" s="483"/>
      <c r="S30" s="483"/>
      <c r="T30" s="483"/>
      <c r="U30" s="483"/>
      <c r="V30" s="483"/>
    </row>
    <row r="31" spans="1:22" ht="15.6">
      <c r="A31" s="315"/>
      <c r="B31" s="615" t="s">
        <v>144</v>
      </c>
      <c r="C31" s="616"/>
      <c r="D31" s="616"/>
      <c r="E31" s="616"/>
      <c r="F31" s="619"/>
      <c r="G31" s="619"/>
      <c r="H31" s="391"/>
      <c r="I31" s="576"/>
      <c r="L31" s="704"/>
      <c r="M31" s="704"/>
      <c r="N31" s="704"/>
      <c r="O31" s="483"/>
      <c r="P31" s="483"/>
      <c r="Q31" s="483"/>
      <c r="R31" s="483"/>
      <c r="S31" s="483"/>
      <c r="T31" s="483"/>
      <c r="U31" s="483"/>
      <c r="V31" s="483"/>
    </row>
    <row r="32" spans="1:22" ht="15.6">
      <c r="A32" s="617" t="s">
        <v>429</v>
      </c>
      <c r="B32" s="618" t="s">
        <v>464</v>
      </c>
      <c r="C32" s="619"/>
      <c r="D32" s="619"/>
      <c r="E32" s="619"/>
      <c r="F32" s="619"/>
      <c r="G32" s="619"/>
      <c r="H32" s="391"/>
      <c r="I32" s="704"/>
      <c r="L32" s="704"/>
      <c r="M32" s="704"/>
      <c r="N32" s="704"/>
      <c r="O32" s="483"/>
      <c r="P32" s="483"/>
      <c r="Q32" s="483"/>
      <c r="R32" s="483"/>
      <c r="S32" s="483"/>
      <c r="T32" s="483"/>
      <c r="U32" s="483"/>
      <c r="V32" s="483"/>
    </row>
    <row r="33" spans="1:22" ht="15.6">
      <c r="A33" s="617" t="s">
        <v>430</v>
      </c>
      <c r="B33" s="620" t="str">
        <f>CONCATENATE("EKPC Form FF1 for ",'Appx C - True Up'!K77, " Ref Pg 112, Row 23 Bal at End of Year")</f>
        <v>EKPC Form FF1 for 2017 Ref Pg 112, Row 23 Bal at End of Year</v>
      </c>
      <c r="C33" s="619"/>
      <c r="D33" s="619"/>
      <c r="E33" s="619"/>
      <c r="F33" s="619"/>
      <c r="G33" s="619"/>
      <c r="H33" s="391"/>
      <c r="I33" s="704"/>
      <c r="L33" s="704"/>
      <c r="M33" s="704"/>
      <c r="N33" s="704"/>
      <c r="O33" s="483"/>
      <c r="P33" s="483"/>
      <c r="Q33" s="483"/>
      <c r="R33" s="483"/>
      <c r="S33" s="483"/>
      <c r="T33" s="483"/>
      <c r="U33" s="483"/>
      <c r="V33" s="483"/>
    </row>
    <row r="34" spans="1:22" ht="15.6">
      <c r="A34" s="617" t="s">
        <v>431</v>
      </c>
      <c r="B34" s="620" t="str">
        <f>CONCATENATE("EKPC Form FF1 for ",'Appx C - True Up'!K77, " Ref Pg 112, Row 15 Bal at End of Year")</f>
        <v>EKPC Form FF1 for 2017 Ref Pg 112, Row 15 Bal at End of Year</v>
      </c>
      <c r="C34" s="619"/>
      <c r="D34" s="619"/>
      <c r="E34" s="619"/>
      <c r="F34" s="619"/>
      <c r="G34" s="619"/>
      <c r="H34" s="391"/>
      <c r="I34" s="704"/>
      <c r="L34" s="704"/>
      <c r="M34" s="704"/>
      <c r="N34" s="704"/>
      <c r="O34" s="483"/>
      <c r="P34" s="483"/>
      <c r="Q34" s="483"/>
      <c r="R34" s="483"/>
      <c r="S34" s="483"/>
      <c r="T34" s="483"/>
      <c r="U34" s="483"/>
      <c r="V34" s="483"/>
    </row>
    <row r="35" spans="1:22" ht="15">
      <c r="A35" s="617" t="s">
        <v>432</v>
      </c>
      <c r="B35" s="620" t="str">
        <f>CONCATENATE(I30, TEXT(J28,"#.00"),". ",I31)</f>
        <v xml:space="preserve">1.50. </v>
      </c>
      <c r="C35" s="312"/>
      <c r="D35" s="312"/>
      <c r="E35" s="312"/>
      <c r="F35" s="694"/>
      <c r="G35" s="1"/>
      <c r="H35" s="483"/>
      <c r="I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</row>
    <row r="36" spans="1:22" ht="15">
      <c r="A36" s="315"/>
      <c r="B36" s="315"/>
      <c r="C36" s="315"/>
      <c r="D36" s="315"/>
      <c r="E36" s="312"/>
      <c r="F36" s="312"/>
      <c r="G36" s="1"/>
      <c r="H36" s="483"/>
      <c r="I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</row>
    <row r="37" spans="1:22" ht="15">
      <c r="A37" s="90"/>
      <c r="B37" s="90"/>
      <c r="C37" s="90"/>
      <c r="D37" s="315"/>
      <c r="E37" s="312"/>
      <c r="F37" s="312"/>
      <c r="G37" s="1"/>
      <c r="H37" s="483"/>
      <c r="I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</row>
    <row r="38" spans="1:22" ht="15">
      <c r="D38" s="312"/>
      <c r="E38" s="312"/>
      <c r="F38" s="312"/>
      <c r="G38" s="1"/>
      <c r="H38" s="483"/>
      <c r="I38" s="483"/>
    </row>
    <row r="39" spans="1:22" ht="15">
      <c r="D39" s="312"/>
      <c r="E39" s="312"/>
      <c r="F39" s="312"/>
      <c r="G39" s="1"/>
      <c r="H39" s="483"/>
      <c r="I39" s="483"/>
    </row>
    <row r="40" spans="1:22" ht="15">
      <c r="E40" s="93"/>
      <c r="F40" s="93"/>
      <c r="G40" s="483"/>
      <c r="H40" s="483"/>
      <c r="I40" s="483"/>
    </row>
    <row r="41" spans="1:22" ht="15">
      <c r="G41" s="483"/>
      <c r="H41" s="483"/>
      <c r="I41" s="483"/>
    </row>
    <row r="42" spans="1:22" ht="15">
      <c r="A42" s="92"/>
      <c r="G42" s="483"/>
      <c r="H42" s="483"/>
      <c r="I42" s="483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S55"/>
  <sheetViews>
    <sheetView zoomScale="80" zoomScaleNormal="80" workbookViewId="0"/>
  </sheetViews>
  <sheetFormatPr defaultColWidth="9.1796875" defaultRowHeight="15"/>
  <cols>
    <col min="1" max="1" width="6.453125" style="568" customWidth="1"/>
    <col min="2" max="2" width="41.6328125" style="568" customWidth="1"/>
    <col min="3" max="14" width="13.6328125" style="568" bestFit="1" customWidth="1"/>
    <col min="15" max="15" width="13.54296875" style="568" bestFit="1" customWidth="1"/>
    <col min="16" max="16" width="12.1796875" style="568" customWidth="1"/>
    <col min="17" max="17" width="10.90625" style="568" bestFit="1" customWidth="1"/>
    <col min="18" max="16384" width="9.1796875" style="568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7" t="str">
        <f>EKPC!J1</f>
        <v>Attachment H-24A</v>
      </c>
    </row>
    <row r="2" spans="1:19" ht="21">
      <c r="B2" s="331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553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378</v>
      </c>
    </row>
    <row r="4" spans="1:19">
      <c r="A4" s="569"/>
      <c r="B4" s="591" t="s">
        <v>592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08" t="str">
        <f>EKPC!$J$124</f>
        <v>For the 12 months ended 12/31/2017</v>
      </c>
    </row>
    <row r="5" spans="1:19">
      <c r="B5" s="741"/>
      <c r="C5" s="4"/>
      <c r="D5" s="4"/>
      <c r="E5" s="4"/>
      <c r="F5" s="595"/>
      <c r="G5" s="4"/>
      <c r="H5" s="4"/>
      <c r="I5" s="4"/>
      <c r="J5" s="4"/>
      <c r="K5" s="4"/>
      <c r="L5" s="4"/>
      <c r="M5" s="4"/>
      <c r="N5" s="595"/>
      <c r="O5" s="97"/>
    </row>
    <row r="8" spans="1:19" ht="18.600000000000001">
      <c r="A8" s="328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8.600000000000001">
      <c r="A9" s="328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92" t="s">
        <v>578</v>
      </c>
      <c r="C10" s="587">
        <f>C45</f>
        <v>2755434.47</v>
      </c>
      <c r="D10" s="587">
        <f t="shared" ref="D10:N10" si="0">D45</f>
        <v>2398851.29</v>
      </c>
      <c r="E10" s="587">
        <f t="shared" si="0"/>
        <v>2409558.7600000002</v>
      </c>
      <c r="F10" s="587">
        <f t="shared" si="0"/>
        <v>1634178.24</v>
      </c>
      <c r="G10" s="587">
        <f t="shared" si="0"/>
        <v>1802458.7</v>
      </c>
      <c r="H10" s="587">
        <f t="shared" si="0"/>
        <v>2026235.76</v>
      </c>
      <c r="I10" s="587">
        <f t="shared" si="0"/>
        <v>2215861.12</v>
      </c>
      <c r="J10" s="587">
        <f t="shared" si="0"/>
        <v>2107196.41</v>
      </c>
      <c r="K10" s="587">
        <f t="shared" si="0"/>
        <v>1917452.74</v>
      </c>
      <c r="L10" s="587">
        <f t="shared" si="0"/>
        <v>1884879.79</v>
      </c>
      <c r="M10" s="587">
        <f t="shared" si="0"/>
        <v>2125388.5499999998</v>
      </c>
      <c r="N10" s="587">
        <f t="shared" si="0"/>
        <v>2657157.4300000002</v>
      </c>
      <c r="O10" s="348">
        <f>SUM(C10:N10)</f>
        <v>25934653.259999998</v>
      </c>
      <c r="P10" s="349">
        <f>ROUND(O10/12,0)</f>
        <v>2161221</v>
      </c>
      <c r="Q10"/>
      <c r="R10" s="469"/>
      <c r="S10"/>
    </row>
    <row r="11" spans="1:19">
      <c r="B11" s="593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69"/>
      <c r="P11" s="569"/>
      <c r="Q11"/>
    </row>
    <row r="12" spans="1:19">
      <c r="B12" s="593"/>
      <c r="C12" s="569"/>
      <c r="D12" s="569"/>
      <c r="E12" s="569"/>
      <c r="F12" s="569"/>
      <c r="G12" s="569"/>
      <c r="H12" s="569"/>
      <c r="I12" s="569"/>
      <c r="J12" s="569"/>
      <c r="K12" s="569"/>
      <c r="L12" s="569"/>
      <c r="M12" s="569"/>
      <c r="N12" s="569"/>
      <c r="O12" s="569"/>
      <c r="P12" s="569"/>
      <c r="Q12"/>
    </row>
    <row r="13" spans="1:19" ht="18.600000000000001">
      <c r="A13" s="330">
        <f>A10+1</f>
        <v>2</v>
      </c>
      <c r="B13" s="592" t="s">
        <v>357</v>
      </c>
      <c r="C13" s="352" t="s">
        <v>136</v>
      </c>
      <c r="D13" s="352" t="s">
        <v>137</v>
      </c>
      <c r="E13" s="352" t="s">
        <v>138</v>
      </c>
      <c r="F13" s="352" t="s">
        <v>139</v>
      </c>
      <c r="G13" s="352" t="s">
        <v>222</v>
      </c>
      <c r="H13" s="352" t="s">
        <v>140</v>
      </c>
      <c r="I13" s="352" t="s">
        <v>223</v>
      </c>
      <c r="J13" s="352" t="s">
        <v>141</v>
      </c>
      <c r="K13" s="352" t="s">
        <v>224</v>
      </c>
      <c r="L13" s="352" t="s">
        <v>225</v>
      </c>
      <c r="M13" s="352" t="s">
        <v>226</v>
      </c>
      <c r="N13" s="352" t="s">
        <v>142</v>
      </c>
      <c r="O13" s="352" t="s">
        <v>10</v>
      </c>
      <c r="P13" s="352" t="s">
        <v>143</v>
      </c>
      <c r="Q13"/>
    </row>
    <row r="14" spans="1:19">
      <c r="A14" s="422">
        <f t="shared" ref="A14:A31" si="1">A13+1</f>
        <v>3</v>
      </c>
      <c r="B14" s="594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348"/>
      <c r="P14" s="349"/>
      <c r="Q14"/>
    </row>
    <row r="15" spans="1:19">
      <c r="A15" s="329">
        <f t="shared" si="1"/>
        <v>4</v>
      </c>
      <c r="B15" s="592" t="s">
        <v>613</v>
      </c>
      <c r="C15" s="805">
        <v>13965.51</v>
      </c>
      <c r="D15" s="805">
        <v>12844.42</v>
      </c>
      <c r="E15" s="805">
        <v>13011.55</v>
      </c>
      <c r="F15" s="805">
        <v>11662.03</v>
      </c>
      <c r="G15" s="805">
        <v>13493.29</v>
      </c>
      <c r="H15" s="805">
        <v>17465.73</v>
      </c>
      <c r="I15" s="805">
        <v>19184.38</v>
      </c>
      <c r="J15" s="805">
        <v>19824.240000000002</v>
      </c>
      <c r="K15" s="805">
        <v>17278.919999999998</v>
      </c>
      <c r="L15" s="805">
        <v>10786.07</v>
      </c>
      <c r="M15" s="805">
        <v>12079.96</v>
      </c>
      <c r="N15" s="805">
        <v>14899.61</v>
      </c>
      <c r="O15" s="348">
        <f t="shared" ref="O15" si="2">SUM(C15:N15)</f>
        <v>176495.71000000002</v>
      </c>
      <c r="P15" s="349">
        <f t="shared" ref="P15" si="3">ROUND(O15/12,0)</f>
        <v>14708</v>
      </c>
      <c r="Q15"/>
    </row>
    <row r="16" spans="1:19">
      <c r="A16" s="329">
        <f t="shared" si="1"/>
        <v>5</v>
      </c>
      <c r="B16" s="592" t="s">
        <v>614</v>
      </c>
      <c r="C16" s="704"/>
      <c r="D16" s="704"/>
      <c r="E16" s="704"/>
      <c r="F16" s="704"/>
      <c r="G16" s="704"/>
      <c r="H16" s="704"/>
      <c r="I16" s="704"/>
      <c r="J16" s="704"/>
      <c r="K16" s="704"/>
      <c r="L16" s="704"/>
      <c r="M16" s="704"/>
      <c r="N16" s="704"/>
      <c r="O16" s="569"/>
      <c r="P16" s="569"/>
      <c r="Q16"/>
    </row>
    <row r="17" spans="1:17">
      <c r="A17" s="329">
        <f t="shared" si="1"/>
        <v>6</v>
      </c>
      <c r="B17" s="592" t="s">
        <v>360</v>
      </c>
      <c r="C17" s="805">
        <v>3775.41</v>
      </c>
      <c r="D17" s="805">
        <v>3117.69</v>
      </c>
      <c r="E17" s="805">
        <v>3085.02</v>
      </c>
      <c r="F17" s="805">
        <v>1816.29</v>
      </c>
      <c r="G17" s="805">
        <v>2069.2800000000002</v>
      </c>
      <c r="H17" s="805">
        <v>2599.02</v>
      </c>
      <c r="I17" s="805">
        <v>2725.65</v>
      </c>
      <c r="J17" s="805">
        <v>2554.7399999999998</v>
      </c>
      <c r="K17" s="805">
        <v>2585.52</v>
      </c>
      <c r="L17" s="805">
        <v>2382.48</v>
      </c>
      <c r="M17" s="805">
        <v>2535.84</v>
      </c>
      <c r="N17" s="805">
        <v>3654.45</v>
      </c>
      <c r="O17" s="348">
        <f t="shared" ref="O17:O30" si="4">SUM(C17:N17)</f>
        <v>32901.39</v>
      </c>
      <c r="P17" s="349">
        <f t="shared" ref="P17:P31" si="5">ROUND(O17/12,0)</f>
        <v>2742</v>
      </c>
      <c r="Q17"/>
    </row>
    <row r="18" spans="1:17">
      <c r="A18" s="329">
        <f t="shared" si="1"/>
        <v>7</v>
      </c>
      <c r="B18" s="592" t="s">
        <v>361</v>
      </c>
      <c r="C18" s="805">
        <v>7434.72</v>
      </c>
      <c r="D18" s="805">
        <v>6187.68</v>
      </c>
      <c r="E18" s="805">
        <v>6360.48</v>
      </c>
      <c r="F18" s="805">
        <v>3922.56</v>
      </c>
      <c r="G18" s="805">
        <v>5044.32</v>
      </c>
      <c r="H18" s="805">
        <v>6131.52</v>
      </c>
      <c r="I18" s="805">
        <v>6595.2</v>
      </c>
      <c r="J18" s="805">
        <v>6575.04</v>
      </c>
      <c r="K18" s="805">
        <v>5702.4</v>
      </c>
      <c r="L18" s="805">
        <v>5058.72</v>
      </c>
      <c r="M18" s="805">
        <v>5283.36</v>
      </c>
      <c r="N18" s="805">
        <v>6631.2</v>
      </c>
      <c r="O18" s="348">
        <f t="shared" si="4"/>
        <v>70927.199999999997</v>
      </c>
      <c r="P18" s="349">
        <f t="shared" si="5"/>
        <v>5911</v>
      </c>
      <c r="Q18"/>
    </row>
    <row r="19" spans="1:17">
      <c r="A19" s="329">
        <f t="shared" si="1"/>
        <v>8</v>
      </c>
      <c r="B19" s="592" t="s">
        <v>362</v>
      </c>
      <c r="C19" s="805">
        <v>5798.88</v>
      </c>
      <c r="D19" s="805">
        <v>4900.32</v>
      </c>
      <c r="E19" s="805">
        <v>4616.6400000000003</v>
      </c>
      <c r="F19" s="805">
        <v>3067.2</v>
      </c>
      <c r="G19" s="805">
        <v>3751.2</v>
      </c>
      <c r="H19" s="805">
        <v>4482.72</v>
      </c>
      <c r="I19" s="805">
        <v>5094.72</v>
      </c>
      <c r="J19" s="805">
        <v>4494.24</v>
      </c>
      <c r="K19" s="805">
        <v>4111.2</v>
      </c>
      <c r="L19" s="805">
        <v>3643.2</v>
      </c>
      <c r="M19" s="805">
        <v>3905.28</v>
      </c>
      <c r="N19" s="805">
        <v>5270.4</v>
      </c>
      <c r="O19" s="348">
        <f t="shared" si="4"/>
        <v>53136</v>
      </c>
      <c r="P19" s="349">
        <f t="shared" si="5"/>
        <v>4428</v>
      </c>
      <c r="Q19"/>
    </row>
    <row r="20" spans="1:17">
      <c r="A20" s="329">
        <f t="shared" si="1"/>
        <v>9</v>
      </c>
      <c r="B20" s="592" t="s">
        <v>363</v>
      </c>
      <c r="C20" s="805">
        <v>2901.12</v>
      </c>
      <c r="D20" s="805">
        <v>2869.92</v>
      </c>
      <c r="E20" s="805">
        <v>2786.88</v>
      </c>
      <c r="F20" s="805">
        <v>2139.36</v>
      </c>
      <c r="G20" s="805">
        <v>3076.8</v>
      </c>
      <c r="H20" s="805">
        <v>3831.84</v>
      </c>
      <c r="I20" s="805">
        <v>4307.04</v>
      </c>
      <c r="J20" s="805">
        <v>3894.72</v>
      </c>
      <c r="K20" s="805">
        <v>3585.12</v>
      </c>
      <c r="L20" s="805">
        <v>2240.16</v>
      </c>
      <c r="M20" s="805">
        <v>2410.56</v>
      </c>
      <c r="N20" s="805">
        <v>2900.64</v>
      </c>
      <c r="O20" s="348">
        <f t="shared" si="4"/>
        <v>36944.160000000003</v>
      </c>
      <c r="P20" s="349">
        <f t="shared" si="5"/>
        <v>3079</v>
      </c>
      <c r="Q20"/>
    </row>
    <row r="21" spans="1:17">
      <c r="A21" s="329">
        <f t="shared" si="1"/>
        <v>10</v>
      </c>
      <c r="B21" s="592" t="s">
        <v>364</v>
      </c>
      <c r="C21" s="805">
        <v>94.32</v>
      </c>
      <c r="D21" s="805">
        <v>87.48</v>
      </c>
      <c r="E21" s="805">
        <v>81.72</v>
      </c>
      <c r="F21" s="805">
        <v>25.92</v>
      </c>
      <c r="G21" s="805">
        <v>15.84</v>
      </c>
      <c r="H21" s="805">
        <v>15.84</v>
      </c>
      <c r="I21" s="805">
        <v>16.2</v>
      </c>
      <c r="J21" s="805">
        <v>15.84</v>
      </c>
      <c r="K21" s="805">
        <v>15.84</v>
      </c>
      <c r="L21" s="805">
        <v>390.96</v>
      </c>
      <c r="M21" s="805">
        <v>123.48</v>
      </c>
      <c r="N21" s="805">
        <v>82.44</v>
      </c>
      <c r="O21" s="348">
        <f t="shared" si="4"/>
        <v>965.87999999999988</v>
      </c>
      <c r="P21" s="349">
        <f t="shared" si="5"/>
        <v>80</v>
      </c>
      <c r="Q21"/>
    </row>
    <row r="22" spans="1:17">
      <c r="A22" s="329">
        <f t="shared" si="1"/>
        <v>11</v>
      </c>
      <c r="B22" s="592" t="s">
        <v>365</v>
      </c>
      <c r="C22" s="805">
        <v>33892.800000000003</v>
      </c>
      <c r="D22" s="805">
        <v>35049.599999999999</v>
      </c>
      <c r="E22" s="805">
        <v>41318.400000000001</v>
      </c>
      <c r="F22" s="805">
        <v>37977.599999999999</v>
      </c>
      <c r="G22" s="805">
        <v>41203.199999999997</v>
      </c>
      <c r="H22" s="805">
        <v>40881.599999999999</v>
      </c>
      <c r="I22" s="805">
        <v>42120</v>
      </c>
      <c r="J22" s="805">
        <v>41217.599999999999</v>
      </c>
      <c r="K22" s="805">
        <v>40008</v>
      </c>
      <c r="L22" s="805">
        <v>35289.599999999999</v>
      </c>
      <c r="M22" s="805">
        <v>37603.199999999997</v>
      </c>
      <c r="N22" s="805">
        <v>38136</v>
      </c>
      <c r="O22" s="348">
        <f t="shared" si="4"/>
        <v>464697.59999999992</v>
      </c>
      <c r="P22" s="349">
        <f t="shared" si="5"/>
        <v>38725</v>
      </c>
      <c r="Q22"/>
    </row>
    <row r="23" spans="1:17">
      <c r="A23" s="329">
        <f t="shared" si="1"/>
        <v>12</v>
      </c>
      <c r="B23" s="592" t="s">
        <v>366</v>
      </c>
      <c r="C23" s="805">
        <v>2359.44</v>
      </c>
      <c r="D23" s="805">
        <v>1979.64</v>
      </c>
      <c r="E23" s="805">
        <v>1731.6</v>
      </c>
      <c r="F23" s="805">
        <v>1098.3599999999999</v>
      </c>
      <c r="G23" s="805">
        <v>1101.24</v>
      </c>
      <c r="H23" s="805">
        <v>1452.6</v>
      </c>
      <c r="I23" s="805">
        <v>1637.64</v>
      </c>
      <c r="J23" s="805">
        <v>1409.4</v>
      </c>
      <c r="K23" s="805">
        <v>1321.56</v>
      </c>
      <c r="L23" s="805">
        <v>1236.96</v>
      </c>
      <c r="M23" s="805">
        <v>1638</v>
      </c>
      <c r="N23" s="805">
        <v>2226.96</v>
      </c>
      <c r="O23" s="348">
        <f t="shared" si="4"/>
        <v>19193.399999999998</v>
      </c>
      <c r="P23" s="349">
        <f t="shared" si="5"/>
        <v>1599</v>
      </c>
      <c r="Q23"/>
    </row>
    <row r="24" spans="1:17">
      <c r="A24" s="329">
        <f t="shared" si="1"/>
        <v>13</v>
      </c>
      <c r="B24" s="592" t="s">
        <v>367</v>
      </c>
      <c r="C24" s="805">
        <v>10631.52</v>
      </c>
      <c r="D24" s="805">
        <v>9204.84</v>
      </c>
      <c r="E24" s="805">
        <v>10506.24</v>
      </c>
      <c r="F24" s="805">
        <v>5026.32</v>
      </c>
      <c r="G24" s="805">
        <v>6381.72</v>
      </c>
      <c r="H24" s="805">
        <v>7635.6</v>
      </c>
      <c r="I24" s="805">
        <v>8070.84</v>
      </c>
      <c r="J24" s="805">
        <v>7873.2</v>
      </c>
      <c r="K24" s="805">
        <v>7345.08</v>
      </c>
      <c r="L24" s="805">
        <v>8615.16</v>
      </c>
      <c r="M24" s="805">
        <v>8938.08</v>
      </c>
      <c r="N24" s="805">
        <v>11388.6</v>
      </c>
      <c r="O24" s="348">
        <f t="shared" si="4"/>
        <v>101617.20000000001</v>
      </c>
      <c r="P24" s="349">
        <f t="shared" si="5"/>
        <v>8468</v>
      </c>
      <c r="Q24"/>
    </row>
    <row r="25" spans="1:17">
      <c r="A25" s="329">
        <f t="shared" si="1"/>
        <v>14</v>
      </c>
      <c r="B25" s="592" t="s">
        <v>368</v>
      </c>
      <c r="C25" s="805">
        <v>886.14</v>
      </c>
      <c r="D25" s="805">
        <v>618.12</v>
      </c>
      <c r="E25" s="805">
        <v>536.4</v>
      </c>
      <c r="F25" s="805">
        <v>308.33999999999997</v>
      </c>
      <c r="G25" s="805">
        <v>297</v>
      </c>
      <c r="H25" s="805">
        <v>366.66</v>
      </c>
      <c r="I25" s="805">
        <v>480.42</v>
      </c>
      <c r="J25" s="805">
        <v>434.16</v>
      </c>
      <c r="K25" s="805">
        <v>395.28</v>
      </c>
      <c r="L25" s="805">
        <v>433.8</v>
      </c>
      <c r="M25" s="805">
        <v>502.56</v>
      </c>
      <c r="N25" s="805">
        <v>843.66</v>
      </c>
      <c r="O25" s="348">
        <f t="shared" si="4"/>
        <v>6102.54</v>
      </c>
      <c r="P25" s="349">
        <f t="shared" si="5"/>
        <v>509</v>
      </c>
      <c r="Q25"/>
    </row>
    <row r="26" spans="1:17">
      <c r="A26" s="329">
        <f t="shared" si="1"/>
        <v>15</v>
      </c>
      <c r="B26" s="592" t="s">
        <v>369</v>
      </c>
      <c r="C26" s="805">
        <v>6265.44</v>
      </c>
      <c r="D26" s="805">
        <v>5769.36</v>
      </c>
      <c r="E26" s="805">
        <v>5658.48</v>
      </c>
      <c r="F26" s="805">
        <v>3515.04</v>
      </c>
      <c r="G26" s="805">
        <v>5077.4399999999996</v>
      </c>
      <c r="H26" s="805">
        <v>6292.08</v>
      </c>
      <c r="I26" s="805">
        <v>6803.28</v>
      </c>
      <c r="J26" s="805">
        <v>6286.32</v>
      </c>
      <c r="K26" s="805">
        <v>5900.4</v>
      </c>
      <c r="L26" s="805">
        <v>4806</v>
      </c>
      <c r="M26" s="805">
        <v>5007.6000000000004</v>
      </c>
      <c r="N26" s="805">
        <v>6273.36</v>
      </c>
      <c r="O26" s="348">
        <f t="shared" si="4"/>
        <v>67654.799999999988</v>
      </c>
      <c r="P26" s="349">
        <f t="shared" si="5"/>
        <v>5638</v>
      </c>
      <c r="Q26"/>
    </row>
    <row r="27" spans="1:17">
      <c r="A27" s="329">
        <f t="shared" si="1"/>
        <v>16</v>
      </c>
      <c r="B27" s="592" t="s">
        <v>370</v>
      </c>
      <c r="C27" s="805">
        <v>6045.84</v>
      </c>
      <c r="D27" s="805">
        <v>5856.84</v>
      </c>
      <c r="E27" s="805">
        <v>6249.96</v>
      </c>
      <c r="F27" s="805">
        <v>5028.4799999999996</v>
      </c>
      <c r="G27" s="805">
        <v>6258.6</v>
      </c>
      <c r="H27" s="805">
        <v>6395.76</v>
      </c>
      <c r="I27" s="805">
        <v>7838.64</v>
      </c>
      <c r="J27" s="805">
        <v>6573.96</v>
      </c>
      <c r="K27" s="805">
        <v>7001.64</v>
      </c>
      <c r="L27" s="805">
        <v>6005.88</v>
      </c>
      <c r="M27" s="805">
        <v>5474.52</v>
      </c>
      <c r="N27" s="805">
        <v>6919.56</v>
      </c>
      <c r="O27" s="348">
        <f t="shared" si="4"/>
        <v>75649.679999999993</v>
      </c>
      <c r="P27" s="349">
        <f t="shared" si="5"/>
        <v>6304</v>
      </c>
      <c r="Q27"/>
    </row>
    <row r="28" spans="1:17">
      <c r="A28" s="329">
        <f t="shared" si="1"/>
        <v>17</v>
      </c>
      <c r="B28" s="592" t="s">
        <v>371</v>
      </c>
      <c r="C28" s="805">
        <v>2898.63</v>
      </c>
      <c r="D28" s="805">
        <v>2247.58</v>
      </c>
      <c r="E28" s="805">
        <v>2874.88</v>
      </c>
      <c r="F28" s="805">
        <v>1355.74</v>
      </c>
      <c r="G28" s="805">
        <v>1285.56</v>
      </c>
      <c r="H28" s="805">
        <v>1310.4000000000001</v>
      </c>
      <c r="I28" s="805">
        <v>1644.02</v>
      </c>
      <c r="J28" s="805">
        <v>1573.48</v>
      </c>
      <c r="K28" s="805">
        <v>1227.26</v>
      </c>
      <c r="L28" s="805">
        <v>2313.08</v>
      </c>
      <c r="M28" s="805">
        <v>2518.2199999999998</v>
      </c>
      <c r="N28" s="805">
        <v>2780.23</v>
      </c>
      <c r="O28" s="348">
        <f t="shared" si="4"/>
        <v>24029.079999999998</v>
      </c>
      <c r="P28" s="349">
        <f t="shared" si="5"/>
        <v>2002</v>
      </c>
      <c r="Q28"/>
    </row>
    <row r="29" spans="1:17">
      <c r="A29" s="329">
        <f t="shared" si="1"/>
        <v>18</v>
      </c>
      <c r="B29" s="592" t="s">
        <v>372</v>
      </c>
      <c r="C29" s="805">
        <v>10588.32</v>
      </c>
      <c r="D29" s="805">
        <v>7999.2</v>
      </c>
      <c r="E29" s="805">
        <v>8795.52</v>
      </c>
      <c r="F29" s="805">
        <v>4890.24</v>
      </c>
      <c r="G29" s="805">
        <v>5345.28</v>
      </c>
      <c r="H29" s="805">
        <v>6236.64</v>
      </c>
      <c r="I29" s="805">
        <v>6805.44</v>
      </c>
      <c r="J29" s="805">
        <v>6258.24</v>
      </c>
      <c r="K29" s="805">
        <v>5453.28</v>
      </c>
      <c r="L29" s="805">
        <v>6798.24</v>
      </c>
      <c r="M29" s="805">
        <v>6860.16</v>
      </c>
      <c r="N29" s="805">
        <v>10834.56</v>
      </c>
      <c r="O29" s="348">
        <f t="shared" si="4"/>
        <v>86865.12</v>
      </c>
      <c r="P29" s="349">
        <f t="shared" si="5"/>
        <v>7239</v>
      </c>
      <c r="Q29"/>
    </row>
    <row r="30" spans="1:17">
      <c r="A30" s="329">
        <f t="shared" si="1"/>
        <v>19</v>
      </c>
      <c r="B30" s="592" t="s">
        <v>373</v>
      </c>
      <c r="C30" s="806">
        <v>7577.28</v>
      </c>
      <c r="D30" s="806">
        <v>5952.96</v>
      </c>
      <c r="E30" s="806">
        <v>6085.44</v>
      </c>
      <c r="F30" s="806">
        <v>3054.24</v>
      </c>
      <c r="G30" s="806">
        <v>2863.44</v>
      </c>
      <c r="H30" s="806">
        <v>3240</v>
      </c>
      <c r="I30" s="806">
        <v>4092.48</v>
      </c>
      <c r="J30" s="806">
        <v>3715.92</v>
      </c>
      <c r="K30" s="806">
        <v>3065.04</v>
      </c>
      <c r="L30" s="806">
        <v>4242.96</v>
      </c>
      <c r="M30" s="806">
        <v>5027.04</v>
      </c>
      <c r="N30" s="806">
        <v>7173.36</v>
      </c>
      <c r="O30" s="351">
        <f t="shared" si="4"/>
        <v>56090.159999999996</v>
      </c>
      <c r="P30" s="353">
        <f t="shared" si="5"/>
        <v>4674</v>
      </c>
      <c r="Q30"/>
    </row>
    <row r="31" spans="1:17">
      <c r="A31" s="329">
        <f t="shared" si="1"/>
        <v>20</v>
      </c>
      <c r="B31" s="592" t="s">
        <v>528</v>
      </c>
      <c r="C31" s="347">
        <f>SUM(C17:C30)</f>
        <v>101149.86000000002</v>
      </c>
      <c r="D31" s="347">
        <f t="shared" ref="D31:N31" si="6">SUM(D17:D30)</f>
        <v>91841.23</v>
      </c>
      <c r="E31" s="347">
        <f t="shared" si="6"/>
        <v>100687.66</v>
      </c>
      <c r="F31" s="347">
        <f t="shared" si="6"/>
        <v>73225.69</v>
      </c>
      <c r="G31" s="781">
        <f t="shared" si="6"/>
        <v>83770.92</v>
      </c>
      <c r="H31" s="781">
        <f t="shared" si="6"/>
        <v>90872.28</v>
      </c>
      <c r="I31" s="347">
        <f t="shared" si="6"/>
        <v>98231.569999999992</v>
      </c>
      <c r="J31" s="781">
        <f t="shared" si="6"/>
        <v>92876.860000000015</v>
      </c>
      <c r="K31" s="347">
        <f t="shared" si="6"/>
        <v>87717.619999999981</v>
      </c>
      <c r="L31" s="347">
        <f t="shared" si="6"/>
        <v>83457.200000000012</v>
      </c>
      <c r="M31" s="347">
        <f t="shared" si="6"/>
        <v>87827.9</v>
      </c>
      <c r="N31" s="347">
        <f t="shared" si="6"/>
        <v>105115.42</v>
      </c>
      <c r="O31" s="347">
        <f t="shared" ref="O31" si="7">SUM(O17:O30)</f>
        <v>1096774.21</v>
      </c>
      <c r="P31" s="349">
        <f t="shared" si="5"/>
        <v>91398</v>
      </c>
      <c r="Q31" s="349"/>
    </row>
    <row r="32" spans="1:17">
      <c r="B32" s="592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470"/>
      <c r="P32" s="470"/>
    </row>
    <row r="33" spans="1:18">
      <c r="A33" s="329">
        <f>A31+1</f>
        <v>21</v>
      </c>
      <c r="B33" s="592" t="s">
        <v>358</v>
      </c>
      <c r="C33" s="354">
        <f>C15+C31</f>
        <v>115115.37000000001</v>
      </c>
      <c r="D33" s="354">
        <f t="shared" ref="D33:N33" si="8">D15+D31</f>
        <v>104685.65</v>
      </c>
      <c r="E33" s="354">
        <f t="shared" si="8"/>
        <v>113699.21</v>
      </c>
      <c r="F33" s="354">
        <f t="shared" si="8"/>
        <v>84887.72</v>
      </c>
      <c r="G33" s="354">
        <f t="shared" si="8"/>
        <v>97264.209999999992</v>
      </c>
      <c r="H33" s="354">
        <f t="shared" si="8"/>
        <v>108338.01</v>
      </c>
      <c r="I33" s="354">
        <f t="shared" si="8"/>
        <v>117415.95</v>
      </c>
      <c r="J33" s="354">
        <f t="shared" si="8"/>
        <v>112701.10000000002</v>
      </c>
      <c r="K33" s="354">
        <f t="shared" si="8"/>
        <v>104996.53999999998</v>
      </c>
      <c r="L33" s="354">
        <f t="shared" si="8"/>
        <v>94243.270000000019</v>
      </c>
      <c r="M33" s="354">
        <f t="shared" si="8"/>
        <v>99907.859999999986</v>
      </c>
      <c r="N33" s="354">
        <f t="shared" si="8"/>
        <v>120015.03</v>
      </c>
      <c r="O33" s="354">
        <f t="shared" ref="O33:P33" si="9">O15+O31</f>
        <v>1273269.92</v>
      </c>
      <c r="P33" s="354">
        <f t="shared" si="9"/>
        <v>106106</v>
      </c>
    </row>
    <row r="34" spans="1:18">
      <c r="B34" s="592"/>
      <c r="C34" s="569"/>
      <c r="D34" s="569"/>
      <c r="E34" s="569"/>
      <c r="F34" s="569"/>
      <c r="G34" s="569"/>
      <c r="H34" s="569"/>
      <c r="I34" s="569"/>
      <c r="J34" s="569"/>
      <c r="K34" s="569"/>
      <c r="L34" s="569"/>
      <c r="M34" s="569"/>
      <c r="N34" s="569"/>
      <c r="O34" s="569"/>
      <c r="P34" s="569"/>
    </row>
    <row r="35" spans="1:18" ht="15.6" thickBot="1">
      <c r="A35" s="329">
        <f>A33+1</f>
        <v>22</v>
      </c>
      <c r="B35" s="592" t="s">
        <v>359</v>
      </c>
      <c r="C35" s="714">
        <f>C10+C33</f>
        <v>2870549.8400000003</v>
      </c>
      <c r="D35" s="714">
        <f t="shared" ref="D35:N35" si="10">D10+D33</f>
        <v>2503536.94</v>
      </c>
      <c r="E35" s="714">
        <f t="shared" si="10"/>
        <v>2523257.9700000002</v>
      </c>
      <c r="F35" s="714">
        <f t="shared" si="10"/>
        <v>1719065.96</v>
      </c>
      <c r="G35" s="714">
        <f t="shared" si="10"/>
        <v>1899722.91</v>
      </c>
      <c r="H35" s="714">
        <f t="shared" si="10"/>
        <v>2134573.77</v>
      </c>
      <c r="I35" s="714">
        <f t="shared" si="10"/>
        <v>2333277.0700000003</v>
      </c>
      <c r="J35" s="714">
        <f t="shared" si="10"/>
        <v>2219897.5100000002</v>
      </c>
      <c r="K35" s="714">
        <f t="shared" si="10"/>
        <v>2022449.28</v>
      </c>
      <c r="L35" s="714">
        <f t="shared" si="10"/>
        <v>1979123.06</v>
      </c>
      <c r="M35" s="714">
        <f t="shared" si="10"/>
        <v>2225296.4099999997</v>
      </c>
      <c r="N35" s="714">
        <f t="shared" si="10"/>
        <v>2777172.46</v>
      </c>
      <c r="O35" s="355">
        <f t="shared" ref="O35" si="11">SUM(C35:N35)</f>
        <v>27207923.180000003</v>
      </c>
      <c r="P35" s="355">
        <f>ROUND(O35/12,0)</f>
        <v>2267327</v>
      </c>
    </row>
    <row r="36" spans="1:18" ht="15.6" thickTop="1"/>
    <row r="37" spans="1:18" ht="15.6">
      <c r="C37" s="711"/>
      <c r="D37" s="711"/>
      <c r="E37" s="711"/>
      <c r="F37" s="711"/>
      <c r="G37" s="711"/>
      <c r="H37" s="711"/>
      <c r="I37" s="711"/>
      <c r="J37" s="711"/>
      <c r="K37" s="564"/>
      <c r="L37" s="564"/>
      <c r="M37" s="564"/>
      <c r="N37" s="712"/>
      <c r="O37" s="713"/>
      <c r="P37" s="564"/>
      <c r="Q37" s="569"/>
      <c r="R37" s="569"/>
    </row>
    <row r="38" spans="1:18">
      <c r="B38" s="513" t="s">
        <v>144</v>
      </c>
      <c r="C38" s="514"/>
      <c r="D38" s="514"/>
      <c r="E38" s="514"/>
      <c r="F38" s="514"/>
      <c r="G38" s="514"/>
      <c r="H38" s="514"/>
      <c r="I38" s="514"/>
      <c r="J38" s="514"/>
      <c r="K38" s="470"/>
      <c r="L38" s="470"/>
      <c r="M38" s="470"/>
      <c r="N38" s="569"/>
      <c r="O38" s="569"/>
      <c r="P38" s="569"/>
      <c r="Q38" s="569"/>
      <c r="R38" s="569"/>
    </row>
    <row r="39" spans="1:18" ht="15.6">
      <c r="A39" s="569"/>
      <c r="B39" s="577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2017 through December 2017 information is sourced from the MV90 system.</v>
      </c>
      <c r="C39" s="569"/>
      <c r="D39" s="569"/>
      <c r="E39" s="569"/>
      <c r="F39" s="569"/>
      <c r="G39" s="471"/>
      <c r="H39" s="471"/>
      <c r="I39" s="471"/>
      <c r="J39" s="471"/>
      <c r="K39" s="565"/>
      <c r="L39" s="569"/>
      <c r="M39" s="569"/>
      <c r="N39" s="596"/>
      <c r="O39" s="564"/>
      <c r="P39" s="569"/>
      <c r="Q39" s="569"/>
      <c r="R39" s="569"/>
    </row>
    <row r="40" spans="1:18" ht="15" customHeight="1">
      <c r="B40" s="577"/>
      <c r="K40" s="569"/>
      <c r="L40" s="569"/>
      <c r="M40" s="569"/>
      <c r="N40" s="596"/>
      <c r="O40" s="564"/>
      <c r="P40" s="569"/>
      <c r="Q40" s="569"/>
      <c r="R40" s="569"/>
    </row>
    <row r="41" spans="1:18">
      <c r="B41" s="715" t="s">
        <v>616</v>
      </c>
      <c r="C41" s="805">
        <v>2778648</v>
      </c>
      <c r="D41" s="805">
        <v>2422282.63</v>
      </c>
      <c r="E41" s="805">
        <v>2438935.19</v>
      </c>
      <c r="F41" s="805">
        <v>1653567.91</v>
      </c>
      <c r="G41" s="805">
        <v>1822995.66</v>
      </c>
      <c r="H41" s="805">
        <v>2057451.97</v>
      </c>
      <c r="I41" s="805">
        <v>2246800.19</v>
      </c>
      <c r="J41" s="805">
        <v>2140351.94</v>
      </c>
      <c r="K41" s="805">
        <v>1949315.44</v>
      </c>
      <c r="L41" s="805">
        <v>1910317.44</v>
      </c>
      <c r="M41" s="805">
        <v>2151951.25</v>
      </c>
      <c r="N41" s="805">
        <v>2685141.94</v>
      </c>
      <c r="O41" s="348">
        <f>SUM(C41:N41)</f>
        <v>26257759.560000006</v>
      </c>
      <c r="P41" s="349">
        <f>ROUND(O41/12,0)</f>
        <v>2188147</v>
      </c>
      <c r="Q41" s="569"/>
      <c r="R41" s="569"/>
    </row>
    <row r="42" spans="1:18">
      <c r="B42" s="731"/>
      <c r="C42" s="732"/>
      <c r="D42" s="732"/>
      <c r="E42" s="732"/>
      <c r="F42" s="732"/>
      <c r="G42" s="732"/>
      <c r="H42" s="732"/>
      <c r="I42" s="732"/>
      <c r="J42" s="732"/>
      <c r="K42" s="732"/>
      <c r="L42" s="732"/>
      <c r="M42" s="732"/>
      <c r="N42" s="733"/>
      <c r="O42" s="734"/>
      <c r="P42" s="732"/>
      <c r="Q42" s="569"/>
      <c r="R42" s="569"/>
    </row>
    <row r="43" spans="1:18">
      <c r="B43" s="716" t="s">
        <v>618</v>
      </c>
      <c r="C43" s="807">
        <v>2263712.81</v>
      </c>
      <c r="D43" s="807">
        <v>1954246.34</v>
      </c>
      <c r="E43" s="807">
        <v>1975748.34</v>
      </c>
      <c r="F43" s="807">
        <v>1298896.69</v>
      </c>
      <c r="G43" s="807">
        <v>1442392.5</v>
      </c>
      <c r="H43" s="807">
        <v>1632565.97</v>
      </c>
      <c r="I43" s="807">
        <v>1789134.06</v>
      </c>
      <c r="J43" s="807">
        <v>1693974.13</v>
      </c>
      <c r="K43" s="807">
        <v>1540044.25</v>
      </c>
      <c r="L43" s="807">
        <v>1528678.84</v>
      </c>
      <c r="M43" s="807">
        <v>1733204.53</v>
      </c>
      <c r="N43" s="808">
        <v>2184800.25</v>
      </c>
      <c r="O43" s="347">
        <f t="shared" ref="O43" si="12">SUM(C43:N43)</f>
        <v>21037398.710000001</v>
      </c>
      <c r="P43" s="347">
        <f t="shared" ref="P43" si="13">ROUND(O43/12,0)</f>
        <v>1753117</v>
      </c>
      <c r="Q43" s="569"/>
      <c r="R43" s="569"/>
    </row>
    <row r="44" spans="1:18">
      <c r="B44" s="716" t="s">
        <v>617</v>
      </c>
      <c r="C44" s="807">
        <v>491721.66</v>
      </c>
      <c r="D44" s="807">
        <v>444604.95</v>
      </c>
      <c r="E44" s="807">
        <v>433810.42</v>
      </c>
      <c r="F44" s="807">
        <v>335281.55</v>
      </c>
      <c r="G44" s="807">
        <v>360066.2</v>
      </c>
      <c r="H44" s="807">
        <v>393669.79</v>
      </c>
      <c r="I44" s="807">
        <v>426727.06</v>
      </c>
      <c r="J44" s="807">
        <v>413222.28</v>
      </c>
      <c r="K44" s="807">
        <v>377408.49</v>
      </c>
      <c r="L44" s="807">
        <v>356200.95</v>
      </c>
      <c r="M44" s="807">
        <v>392184.02</v>
      </c>
      <c r="N44" s="808">
        <v>472357.18</v>
      </c>
      <c r="O44" s="347">
        <f t="shared" ref="O44" si="14">SUM(C44:N44)</f>
        <v>4897254.5500000007</v>
      </c>
      <c r="P44" s="347">
        <f t="shared" ref="P44" si="15">ROUND(O44/12,0)</f>
        <v>408105</v>
      </c>
      <c r="Q44" s="569"/>
      <c r="R44" s="569"/>
    </row>
    <row r="45" spans="1:18">
      <c r="B45" s="716" t="s">
        <v>615</v>
      </c>
      <c r="C45" s="717">
        <f>SUM(C43:C44)</f>
        <v>2755434.47</v>
      </c>
      <c r="D45" s="717">
        <f t="shared" ref="D45:N45" si="16">SUM(D43:D44)</f>
        <v>2398851.29</v>
      </c>
      <c r="E45" s="717">
        <f t="shared" si="16"/>
        <v>2409558.7600000002</v>
      </c>
      <c r="F45" s="717">
        <f t="shared" si="16"/>
        <v>1634178.24</v>
      </c>
      <c r="G45" s="717">
        <f t="shared" si="16"/>
        <v>1802458.7</v>
      </c>
      <c r="H45" s="717">
        <f t="shared" si="16"/>
        <v>2026235.76</v>
      </c>
      <c r="I45" s="717">
        <f t="shared" si="16"/>
        <v>2215861.12</v>
      </c>
      <c r="J45" s="717">
        <f t="shared" si="16"/>
        <v>2107196.41</v>
      </c>
      <c r="K45" s="717">
        <f t="shared" si="16"/>
        <v>1917452.74</v>
      </c>
      <c r="L45" s="347">
        <f t="shared" si="16"/>
        <v>1884879.79</v>
      </c>
      <c r="M45" s="347">
        <f t="shared" si="16"/>
        <v>2125388.5499999998</v>
      </c>
      <c r="N45" s="717">
        <f t="shared" si="16"/>
        <v>2657157.4300000002</v>
      </c>
      <c r="O45" s="717">
        <f t="shared" ref="O45" si="17">SUM(O43:O44)</f>
        <v>25934653.260000002</v>
      </c>
      <c r="P45" s="717">
        <f t="shared" ref="P45" si="18">SUM(P43:P44)</f>
        <v>2161222</v>
      </c>
      <c r="Q45" s="347"/>
      <c r="R45" s="569"/>
    </row>
    <row r="46" spans="1:18">
      <c r="B46" s="716"/>
      <c r="C46" s="731"/>
      <c r="D46" s="731"/>
      <c r="E46" s="731"/>
      <c r="F46" s="731"/>
      <c r="G46" s="731"/>
      <c r="H46" s="731"/>
      <c r="I46" s="731"/>
      <c r="J46" s="731"/>
      <c r="K46" s="732"/>
      <c r="L46" s="732"/>
      <c r="M46" s="732"/>
      <c r="N46" s="733"/>
      <c r="O46" s="734"/>
      <c r="P46" s="732"/>
      <c r="Q46" s="569"/>
      <c r="R46" s="569"/>
    </row>
    <row r="47" spans="1:18">
      <c r="B47" s="716" t="s">
        <v>619</v>
      </c>
      <c r="C47" s="735">
        <f>C41-C45</f>
        <v>23213.529999999795</v>
      </c>
      <c r="D47" s="735">
        <f t="shared" ref="D47:N47" si="19">D41-D45</f>
        <v>23431.339999999851</v>
      </c>
      <c r="E47" s="735">
        <f t="shared" si="19"/>
        <v>29376.429999999702</v>
      </c>
      <c r="F47" s="735">
        <f t="shared" si="19"/>
        <v>19389.669999999925</v>
      </c>
      <c r="G47" s="735">
        <f t="shared" si="19"/>
        <v>20536.959999999963</v>
      </c>
      <c r="H47" s="735">
        <f t="shared" si="19"/>
        <v>31216.209999999963</v>
      </c>
      <c r="I47" s="735">
        <f t="shared" si="19"/>
        <v>30939.069999999832</v>
      </c>
      <c r="J47" s="735">
        <f t="shared" si="19"/>
        <v>33155.529999999795</v>
      </c>
      <c r="K47" s="735">
        <f t="shared" si="19"/>
        <v>31862.699999999953</v>
      </c>
      <c r="L47" s="734">
        <f t="shared" si="19"/>
        <v>25437.649999999907</v>
      </c>
      <c r="M47" s="734">
        <f t="shared" si="19"/>
        <v>26562.700000000186</v>
      </c>
      <c r="N47" s="735">
        <f t="shared" si="19"/>
        <v>27984.509999999776</v>
      </c>
      <c r="O47" s="347">
        <f t="shared" ref="O47:O50" si="20">SUM(C47:N47)</f>
        <v>323106.29999999865</v>
      </c>
      <c r="P47" s="347">
        <f t="shared" ref="P47:P50" si="21">ROUND(O47/12,0)</f>
        <v>26926</v>
      </c>
      <c r="Q47" s="569"/>
      <c r="R47" s="569"/>
    </row>
    <row r="48" spans="1:18">
      <c r="B48" s="716"/>
      <c r="C48" s="735"/>
      <c r="D48" s="735"/>
      <c r="E48" s="735"/>
      <c r="F48" s="735"/>
      <c r="G48" s="735"/>
      <c r="H48" s="735"/>
      <c r="I48" s="735"/>
      <c r="J48" s="735"/>
      <c r="K48" s="735"/>
      <c r="L48" s="734"/>
      <c r="M48" s="734"/>
      <c r="N48" s="735"/>
      <c r="O48" s="347"/>
      <c r="P48" s="347"/>
      <c r="Q48" s="569"/>
      <c r="R48" s="569"/>
    </row>
    <row r="49" spans="2:18">
      <c r="B49" s="716" t="s">
        <v>622</v>
      </c>
      <c r="C49" s="809">
        <v>15103.44</v>
      </c>
      <c r="D49" s="809">
        <v>15598.08</v>
      </c>
      <c r="E49" s="809">
        <v>21216.959999999999</v>
      </c>
      <c r="F49" s="809">
        <v>14606.28</v>
      </c>
      <c r="G49" s="809">
        <v>15277.68</v>
      </c>
      <c r="H49" s="809">
        <v>25031.88</v>
      </c>
      <c r="I49" s="809">
        <v>24112.799999999999</v>
      </c>
      <c r="J49" s="809">
        <v>26333.279999999999</v>
      </c>
      <c r="K49" s="809">
        <v>26172</v>
      </c>
      <c r="L49" s="809">
        <v>18851.04</v>
      </c>
      <c r="M49" s="809">
        <v>19605.240000000002</v>
      </c>
      <c r="N49" s="809">
        <v>19333.080000000002</v>
      </c>
      <c r="O49" s="347">
        <f t="shared" si="20"/>
        <v>241241.76</v>
      </c>
      <c r="P49" s="347">
        <f t="shared" si="21"/>
        <v>20103</v>
      </c>
      <c r="Q49" s="569"/>
      <c r="R49" s="569"/>
    </row>
    <row r="50" spans="2:18">
      <c r="B50" s="716" t="s">
        <v>623</v>
      </c>
      <c r="C50" s="809">
        <v>8110.08</v>
      </c>
      <c r="D50" s="809">
        <v>7833.24</v>
      </c>
      <c r="E50" s="809">
        <v>8159.4</v>
      </c>
      <c r="F50" s="809">
        <v>4783.32</v>
      </c>
      <c r="G50" s="809">
        <v>5259.24</v>
      </c>
      <c r="H50" s="809">
        <v>6184.29</v>
      </c>
      <c r="I50" s="809">
        <v>6826.22</v>
      </c>
      <c r="J50" s="809">
        <v>6822.24</v>
      </c>
      <c r="K50" s="809">
        <v>5690.73</v>
      </c>
      <c r="L50" s="809">
        <v>6586.62</v>
      </c>
      <c r="M50" s="809">
        <v>6957.46</v>
      </c>
      <c r="N50" s="809">
        <v>8651.48</v>
      </c>
      <c r="O50" s="347">
        <f t="shared" si="20"/>
        <v>81864.319999999992</v>
      </c>
      <c r="P50" s="347">
        <f t="shared" si="21"/>
        <v>6822</v>
      </c>
      <c r="Q50" s="569"/>
      <c r="R50" s="569"/>
    </row>
    <row r="51" spans="2:18">
      <c r="B51" s="716" t="s">
        <v>621</v>
      </c>
      <c r="C51" s="735">
        <f>SUM(C49:C50)</f>
        <v>23213.52</v>
      </c>
      <c r="D51" s="735">
        <f t="shared" ref="D51:N51" si="22">SUM(D49:D50)</f>
        <v>23431.32</v>
      </c>
      <c r="E51" s="735">
        <f t="shared" si="22"/>
        <v>29376.36</v>
      </c>
      <c r="F51" s="735">
        <f t="shared" si="22"/>
        <v>19389.599999999999</v>
      </c>
      <c r="G51" s="735">
        <f t="shared" si="22"/>
        <v>20536.919999999998</v>
      </c>
      <c r="H51" s="735">
        <f t="shared" si="22"/>
        <v>31216.170000000002</v>
      </c>
      <c r="I51" s="735">
        <f t="shared" si="22"/>
        <v>30939.02</v>
      </c>
      <c r="J51" s="735">
        <f t="shared" si="22"/>
        <v>33155.519999999997</v>
      </c>
      <c r="K51" s="735">
        <f t="shared" si="22"/>
        <v>31862.73</v>
      </c>
      <c r="L51" s="735">
        <f t="shared" si="22"/>
        <v>25437.66</v>
      </c>
      <c r="M51" s="735">
        <f t="shared" si="22"/>
        <v>26562.7</v>
      </c>
      <c r="N51" s="735">
        <f t="shared" si="22"/>
        <v>27984.560000000001</v>
      </c>
      <c r="O51" s="717">
        <f t="shared" ref="O51:P51" si="23">SUM(O48:O50)</f>
        <v>323106.08</v>
      </c>
      <c r="P51" s="717">
        <f t="shared" si="23"/>
        <v>26925</v>
      </c>
      <c r="Q51" s="569"/>
      <c r="R51" s="569"/>
    </row>
    <row r="52" spans="2:18">
      <c r="B52" s="716"/>
      <c r="C52" s="735"/>
      <c r="D52" s="735"/>
      <c r="E52" s="735"/>
      <c r="F52" s="735"/>
      <c r="G52" s="735"/>
      <c r="H52" s="735"/>
      <c r="I52" s="735"/>
      <c r="J52" s="735"/>
      <c r="K52" s="735"/>
      <c r="L52" s="735"/>
      <c r="M52" s="735"/>
      <c r="N52" s="735"/>
      <c r="O52" s="732"/>
      <c r="P52" s="732"/>
      <c r="Q52" s="569"/>
      <c r="R52" s="569"/>
    </row>
    <row r="53" spans="2:18">
      <c r="B53" s="716" t="s">
        <v>620</v>
      </c>
      <c r="C53" s="735">
        <f>C47-C51</f>
        <v>9.9999997946724761E-3</v>
      </c>
      <c r="D53" s="735">
        <f t="shared" ref="D53:N53" si="24">D47-D51</f>
        <v>1.9999999851279426E-2</v>
      </c>
      <c r="E53" s="735">
        <f t="shared" si="24"/>
        <v>6.99999997013947E-2</v>
      </c>
      <c r="F53" s="735">
        <f t="shared" si="24"/>
        <v>6.9999999926949386E-2</v>
      </c>
      <c r="G53" s="735">
        <f t="shared" si="24"/>
        <v>3.9999999964493327E-2</v>
      </c>
      <c r="H53" s="735">
        <f t="shared" si="24"/>
        <v>3.9999999960855348E-2</v>
      </c>
      <c r="I53" s="735">
        <f t="shared" si="24"/>
        <v>4.9999999831925379E-2</v>
      </c>
      <c r="J53" s="735">
        <f t="shared" si="24"/>
        <v>9.9999997983104549E-3</v>
      </c>
      <c r="K53" s="735">
        <f t="shared" si="24"/>
        <v>-3.0000000046129571E-2</v>
      </c>
      <c r="L53" s="735">
        <f t="shared" si="24"/>
        <v>-1.0000000092986738E-2</v>
      </c>
      <c r="M53" s="735">
        <f t="shared" si="24"/>
        <v>1.8553691916167736E-10</v>
      </c>
      <c r="N53" s="735">
        <f t="shared" si="24"/>
        <v>-5.000000022482709E-2</v>
      </c>
      <c r="O53" s="732"/>
      <c r="P53" s="732"/>
      <c r="Q53" s="569"/>
      <c r="R53" s="569"/>
    </row>
    <row r="54" spans="2:18">
      <c r="N54" s="597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Z955"/>
  <sheetViews>
    <sheetView zoomScale="70" zoomScaleNormal="70" zoomScaleSheetLayoutView="70" workbookViewId="0"/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0" width="18.90625" style="99" bestFit="1" customWidth="1"/>
    <col min="11" max="11" width="11.90625" style="99" bestFit="1" customWidth="1"/>
    <col min="12" max="16384" width="9.36328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12/31/2017</v>
      </c>
      <c r="H5" s="108"/>
      <c r="J5" s="136"/>
    </row>
    <row r="6" spans="1:10" ht="15.6">
      <c r="A6" s="296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6">
      <c r="A8" s="135" t="str">
        <f>EKPC!A9</f>
        <v>Utilizing EKPC 2017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6">
      <c r="A9" s="769" t="s">
        <v>642</v>
      </c>
      <c r="B9" s="770"/>
      <c r="C9" s="770"/>
      <c r="D9" s="770"/>
      <c r="E9" s="133"/>
      <c r="F9" s="133"/>
      <c r="G9" s="489"/>
      <c r="H9" s="128"/>
      <c r="I9" s="132"/>
    </row>
    <row r="10" spans="1:10" ht="15.6">
      <c r="B10" s="119"/>
      <c r="C10" s="118"/>
      <c r="D10" s="115"/>
      <c r="H10" s="128"/>
    </row>
    <row r="11" spans="1:10" ht="15.6">
      <c r="A11" s="552" t="s">
        <v>246</v>
      </c>
      <c r="B11" s="552"/>
      <c r="C11" s="552"/>
      <c r="D11" s="552"/>
      <c r="E11" s="552"/>
      <c r="F11" s="552"/>
      <c r="G11" s="552"/>
      <c r="H11" s="128"/>
      <c r="I11" s="131"/>
      <c r="J11" s="741"/>
    </row>
    <row r="12" spans="1:10" ht="15.6">
      <c r="A12" s="130"/>
      <c r="B12" s="119"/>
      <c r="C12" s="118"/>
      <c r="D12" s="115"/>
      <c r="H12" s="128"/>
    </row>
    <row r="13" spans="1:10" ht="15.6">
      <c r="B13" s="119"/>
      <c r="C13" s="118"/>
      <c r="D13" s="115"/>
      <c r="E13" s="115"/>
      <c r="F13" s="129"/>
      <c r="G13" s="121"/>
      <c r="H13" s="128"/>
    </row>
    <row r="14" spans="1:10" ht="15.6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6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20"/>
      <c r="K17" s="520"/>
      <c r="L17" s="520"/>
      <c r="M17" s="520"/>
      <c r="N17" s="520"/>
    </row>
    <row r="18" spans="1:26">
      <c r="B18" s="119">
        <v>1</v>
      </c>
      <c r="C18" s="118"/>
      <c r="D18" s="124" t="s">
        <v>236</v>
      </c>
      <c r="E18" s="551" t="s">
        <v>557</v>
      </c>
      <c r="F18" s="117"/>
      <c r="G18" s="504">
        <f>'Pg 4 of 8 Sch 1 Charges 561'!D42</f>
        <v>3397524.7300000004</v>
      </c>
      <c r="H18" s="126"/>
      <c r="J18" s="521"/>
      <c r="K18" s="522"/>
      <c r="L18" s="488"/>
      <c r="M18" s="488"/>
      <c r="N18" s="488"/>
      <c r="O18" s="101"/>
      <c r="P18" s="101"/>
      <c r="Q18" s="101"/>
    </row>
    <row r="19" spans="1:26">
      <c r="B19" s="119"/>
      <c r="C19" s="118"/>
      <c r="D19" s="124" t="s">
        <v>590</v>
      </c>
      <c r="E19" s="486"/>
      <c r="F19" s="487"/>
      <c r="G19" s="503">
        <f>G35/G34*G18</f>
        <v>56700.217207130845</v>
      </c>
      <c r="H19" s="126"/>
      <c r="J19" s="521"/>
      <c r="K19" s="488"/>
      <c r="L19" s="488"/>
      <c r="M19" s="488"/>
      <c r="N19" s="488"/>
      <c r="O19" s="101"/>
      <c r="P19" s="101"/>
      <c r="Q19" s="101"/>
    </row>
    <row r="20" spans="1:26">
      <c r="B20" s="119"/>
      <c r="C20" s="118"/>
      <c r="D20" s="124" t="s">
        <v>527</v>
      </c>
      <c r="E20" s="468"/>
      <c r="F20" s="117"/>
      <c r="G20" s="503">
        <f>G18-G19</f>
        <v>3340824.5127928695</v>
      </c>
      <c r="H20" s="126"/>
      <c r="J20" s="523"/>
      <c r="K20" s="488"/>
      <c r="L20" s="488"/>
      <c r="M20" s="488"/>
      <c r="N20" s="488"/>
      <c r="O20" s="101"/>
      <c r="P20" s="101"/>
      <c r="Q20" s="101"/>
    </row>
    <row r="21" spans="1:26">
      <c r="B21" s="119"/>
      <c r="C21" s="118"/>
      <c r="D21" s="124"/>
      <c r="E21" s="468"/>
      <c r="F21" s="117"/>
      <c r="G21" s="396"/>
      <c r="H21" s="126"/>
      <c r="J21" s="488"/>
      <c r="K21" s="488"/>
      <c r="L21" s="488"/>
      <c r="M21" s="488"/>
      <c r="N21" s="488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6"/>
      <c r="H22" s="125"/>
    </row>
    <row r="23" spans="1:26" ht="15.6">
      <c r="B23" s="119">
        <v>2</v>
      </c>
      <c r="C23" s="118"/>
      <c r="D23" s="124" t="s">
        <v>477</v>
      </c>
      <c r="E23" s="117" t="s">
        <v>476</v>
      </c>
      <c r="F23" s="108"/>
      <c r="G23" s="503">
        <v>0</v>
      </c>
      <c r="H23"/>
      <c r="J23" s="742"/>
      <c r="K23" s="101"/>
      <c r="L23" s="101"/>
      <c r="M23" s="101"/>
      <c r="N23" s="101"/>
      <c r="O23" s="101"/>
      <c r="P23" s="101"/>
    </row>
    <row r="24" spans="1:26" ht="15.6">
      <c r="B24" s="119"/>
      <c r="C24" s="118"/>
      <c r="D24" s="124"/>
      <c r="E24" s="115"/>
      <c r="F24" s="117"/>
      <c r="G24" s="397"/>
      <c r="H24" s="125"/>
      <c r="J24" s="742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7" t="s">
        <v>235</v>
      </c>
      <c r="E25" s="418"/>
      <c r="F25" s="419"/>
      <c r="G25" s="503">
        <f>G20-G23</f>
        <v>3340824.5127928695</v>
      </c>
      <c r="H25" s="125"/>
    </row>
    <row r="26" spans="1:26">
      <c r="B26" s="119"/>
      <c r="C26" s="118"/>
      <c r="D26" s="124"/>
      <c r="E26" s="115"/>
      <c r="F26" s="117"/>
      <c r="G26" s="396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12/31/2016</v>
      </c>
      <c r="E27" s="118" t="s">
        <v>475</v>
      </c>
      <c r="F27" s="117"/>
      <c r="G27" s="396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6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12/31/2017</v>
      </c>
      <c r="E29" s="115"/>
      <c r="F29" s="117"/>
      <c r="G29" s="502">
        <f>G25+G27</f>
        <v>3340824.5127928695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705" t="s">
        <v>643</v>
      </c>
      <c r="E32" s="118" t="s">
        <v>478</v>
      </c>
      <c r="F32" s="117"/>
      <c r="G32" s="785">
        <v>12536264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50" t="s">
        <v>416</v>
      </c>
      <c r="C33" s="118"/>
      <c r="D33" s="109" t="s">
        <v>595</v>
      </c>
      <c r="E33" s="138" t="s">
        <v>492</v>
      </c>
      <c r="F33" s="117"/>
      <c r="G33" s="786">
        <f>548528-535690</f>
        <v>12838</v>
      </c>
      <c r="H33" s="106"/>
      <c r="J33" s="569"/>
      <c r="K33" s="576"/>
      <c r="L33" s="576"/>
      <c r="M33" s="576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50" t="s">
        <v>587</v>
      </c>
      <c r="C34" s="118"/>
      <c r="D34" s="109" t="s">
        <v>573</v>
      </c>
      <c r="E34" s="118" t="s">
        <v>598</v>
      </c>
      <c r="F34" s="117"/>
      <c r="G34" s="598">
        <f>G32+G33</f>
        <v>12549102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50" t="s">
        <v>588</v>
      </c>
      <c r="C35" s="118"/>
      <c r="D35" s="109" t="s">
        <v>604</v>
      </c>
      <c r="E35" s="118" t="s">
        <v>602</v>
      </c>
      <c r="F35" s="117"/>
      <c r="G35" s="785">
        <v>209428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2" thickBot="1">
      <c r="B36" s="550" t="s">
        <v>589</v>
      </c>
      <c r="C36" s="118"/>
      <c r="D36" s="109" t="s">
        <v>574</v>
      </c>
      <c r="E36" s="118"/>
      <c r="F36" s="117"/>
      <c r="G36" s="599">
        <f>G34-G35</f>
        <v>12339674</v>
      </c>
      <c r="H36" s="106" t="s">
        <v>232</v>
      </c>
      <c r="J36" s="743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6"/>
      <c r="Y36"/>
      <c r="Z36"/>
    </row>
    <row r="37" spans="1:26" ht="15.6">
      <c r="B37" s="111"/>
      <c r="C37" s="118"/>
      <c r="D37" s="109"/>
      <c r="E37" s="118"/>
      <c r="F37" s="117"/>
      <c r="G37" s="405"/>
      <c r="H37" s="106"/>
      <c r="J37" s="728"/>
      <c r="K37" s="576"/>
      <c r="L37" s="576"/>
      <c r="M37" s="576"/>
      <c r="N37" s="576"/>
      <c r="O37" s="576"/>
      <c r="P37" s="101"/>
      <c r="Q37" s="101"/>
      <c r="R37" s="101"/>
      <c r="S37" s="101"/>
      <c r="T37" s="101"/>
      <c r="U37" s="101"/>
      <c r="V37" s="101"/>
      <c r="W37" s="101"/>
      <c r="X37" s="576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.6">
      <c r="A39" s="101"/>
      <c r="B39" s="111">
        <f>+B32+1</f>
        <v>7</v>
      </c>
      <c r="C39" s="110"/>
      <c r="D39" s="109" t="s">
        <v>474</v>
      </c>
      <c r="E39" s="114" t="str">
        <f>"(Line "&amp;B25&amp;" / Line "&amp;B32&amp;")"</f>
        <v>(Line 3 / Line 6)</v>
      </c>
      <c r="F39" s="107"/>
      <c r="G39" s="112">
        <f>+G29/G36</f>
        <v>0.27073847435457932</v>
      </c>
      <c r="H39" s="113" t="s">
        <v>231</v>
      </c>
      <c r="J39" s="742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9" t="s">
        <v>144</v>
      </c>
      <c r="C43" s="370"/>
      <c r="D43" s="371"/>
      <c r="E43" s="701"/>
      <c r="F43" s="701"/>
      <c r="G43" s="702"/>
      <c r="H43" s="701"/>
      <c r="I43" s="103"/>
      <c r="J43" s="103"/>
    </row>
    <row r="44" spans="1:26" ht="30" customHeight="1">
      <c r="B44" s="613" t="s">
        <v>16</v>
      </c>
      <c r="C44" s="110"/>
      <c r="D44" s="815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15"/>
      <c r="F44" s="815"/>
      <c r="G44" s="815"/>
      <c r="H44" s="815"/>
      <c r="I44" s="103"/>
      <c r="J44" s="350"/>
      <c r="K44" s="350"/>
      <c r="L44" s="350"/>
      <c r="M44" s="350"/>
      <c r="N44" s="350"/>
      <c r="O44" s="350"/>
      <c r="P44" s="101"/>
      <c r="Q44" s="101"/>
    </row>
    <row r="45" spans="1:26">
      <c r="B45" s="403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4"/>
      <c r="J45" s="706"/>
      <c r="K45" s="101"/>
      <c r="L45" s="101"/>
      <c r="M45" s="101"/>
      <c r="N45" s="101"/>
      <c r="O45" s="101"/>
    </row>
    <row r="46" spans="1:26" ht="15" customHeight="1">
      <c r="B46" s="403" t="s">
        <v>18</v>
      </c>
      <c r="C46" s="106"/>
      <c r="D46" s="815" t="s">
        <v>596</v>
      </c>
      <c r="E46" s="814"/>
      <c r="F46" s="814"/>
      <c r="G46" s="814"/>
      <c r="H46" s="110"/>
      <c r="I46" s="525"/>
      <c r="J46" s="103"/>
      <c r="K46" s="101"/>
      <c r="L46" s="101"/>
      <c r="M46" s="101"/>
      <c r="N46" s="101"/>
      <c r="O46" s="101"/>
    </row>
    <row r="47" spans="1:26">
      <c r="B47" s="403" t="s">
        <v>19</v>
      </c>
      <c r="C47" s="106"/>
      <c r="D47" s="101" t="s">
        <v>599</v>
      </c>
      <c r="E47" s="110"/>
      <c r="F47" s="110"/>
      <c r="G47" s="110"/>
      <c r="H47" s="110"/>
      <c r="I47" s="524"/>
      <c r="J47" s="103"/>
      <c r="K47" s="101"/>
      <c r="L47" s="101"/>
      <c r="M47" s="101"/>
      <c r="N47" s="101"/>
      <c r="O47" s="101"/>
    </row>
    <row r="48" spans="1:26">
      <c r="B48" s="403" t="s">
        <v>20</v>
      </c>
      <c r="C48" s="103"/>
      <c r="D48" s="101" t="s">
        <v>600</v>
      </c>
      <c r="E48" s="103"/>
      <c r="F48" s="103"/>
      <c r="G48" s="103"/>
      <c r="H48" s="103"/>
      <c r="I48" s="103"/>
      <c r="J48" s="103"/>
    </row>
    <row r="49" spans="2:10">
      <c r="B49" s="403" t="s">
        <v>413</v>
      </c>
      <c r="C49" s="103"/>
      <c r="D49" s="101" t="s">
        <v>603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12/31/2017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17" t="str">
        <f>EKPC!A11</f>
        <v>East Kentucky Power Cooperative, Inc.</v>
      </c>
      <c r="B9" s="817"/>
      <c r="C9" s="817"/>
      <c r="D9" s="817"/>
      <c r="E9" s="817"/>
      <c r="F9" s="817"/>
      <c r="G9" s="817"/>
      <c r="H9" s="817"/>
      <c r="I9" s="817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20">
        <f>EKPC!J76</f>
        <v>608176606</v>
      </c>
      <c r="J19" s="54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7" t="str">
        <f>CONCATENATE(EKPC!J1,", p 2, line 14 col 5 (Note B)")</f>
        <v>Attachment H-24A, p 2, line 14 col 5 (Note B)</v>
      </c>
      <c r="F20" s="43"/>
      <c r="G20" s="420">
        <f>EKPC!J92</f>
        <v>424992479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20">
        <f>EKPC!J145</f>
        <v>35806117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5.8874538492195802E-2</v>
      </c>
      <c r="I24" s="45">
        <f>G24</f>
        <v>5.8874538492195802E-2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20">
        <f>EKPC!J149+EKPC!J150</f>
        <v>1085138</v>
      </c>
      <c r="J27" s="544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1.7842481760964018E-3</v>
      </c>
      <c r="I28" s="45">
        <f>G28</f>
        <v>1.7842481760964018E-3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20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6.0658786668292206E-2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20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20">
        <f>EKPC!J176</f>
        <v>31989950.88028555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7.5271804704773487E-2</v>
      </c>
      <c r="I42" s="45">
        <f>G42</f>
        <v>7.5271804704773487E-2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7.5271804704773487E-2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7" t="s">
        <v>93</v>
      </c>
      <c r="B46" s="470"/>
      <c r="C46" s="470"/>
      <c r="D46" s="470"/>
      <c r="E46" s="470"/>
      <c r="F46" s="470"/>
      <c r="G46" s="470"/>
      <c r="H46" s="470"/>
      <c r="I46" s="470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6" t="s">
        <v>95</v>
      </c>
      <c r="B47" s="567"/>
      <c r="C47" s="818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18"/>
      <c r="E47" s="818"/>
      <c r="F47" s="818"/>
      <c r="G47" s="818"/>
      <c r="H47" s="818"/>
      <c r="I47" s="818"/>
      <c r="J47" s="518"/>
      <c r="K47" s="510"/>
      <c r="L47" s="510"/>
      <c r="M47" s="510"/>
      <c r="N47" s="510"/>
    </row>
    <row r="48" spans="1:49" ht="30" customHeight="1">
      <c r="A48" s="556" t="s">
        <v>96</v>
      </c>
      <c r="B48" s="567"/>
      <c r="C48" s="816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16"/>
      <c r="E48" s="816"/>
      <c r="F48" s="816"/>
      <c r="G48" s="816"/>
      <c r="H48" s="816"/>
      <c r="I48" s="816"/>
      <c r="J48" s="518"/>
      <c r="K48" s="510"/>
      <c r="L48" s="510"/>
      <c r="M48" s="510"/>
      <c r="N48" s="510"/>
    </row>
    <row r="49" spans="1:49" ht="29.25" customHeight="1">
      <c r="A49" s="556" t="s">
        <v>97</v>
      </c>
      <c r="B49" s="567"/>
      <c r="C49" s="816" t="s">
        <v>208</v>
      </c>
      <c r="D49" s="816"/>
      <c r="E49" s="816"/>
      <c r="F49" s="816"/>
      <c r="G49" s="816"/>
      <c r="H49" s="816"/>
      <c r="I49" s="816"/>
      <c r="J49" s="519"/>
      <c r="K49" s="511"/>
      <c r="L49" s="511"/>
      <c r="M49" s="511"/>
      <c r="N49" s="511"/>
    </row>
    <row r="50" spans="1:49">
      <c r="A50" s="556" t="s">
        <v>98</v>
      </c>
      <c r="B50" s="567"/>
      <c r="C50" s="816" t="s">
        <v>209</v>
      </c>
      <c r="D50" s="816"/>
      <c r="E50" s="816"/>
      <c r="F50" s="816"/>
      <c r="G50" s="816"/>
      <c r="H50" s="816"/>
      <c r="I50" s="816"/>
      <c r="J50" s="519"/>
      <c r="K50" s="511"/>
      <c r="L50" s="511"/>
      <c r="M50" s="511"/>
      <c r="N50" s="511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6" t="s">
        <v>99</v>
      </c>
      <c r="B51" s="567"/>
      <c r="C51" s="816" t="s">
        <v>568</v>
      </c>
      <c r="D51" s="816"/>
      <c r="E51" s="816"/>
      <c r="F51" s="816"/>
      <c r="G51" s="816"/>
      <c r="H51" s="816"/>
      <c r="I51" s="816"/>
      <c r="J51" s="518"/>
      <c r="K51" s="623"/>
      <c r="L51" s="623"/>
      <c r="M51" s="623"/>
      <c r="N51" s="623"/>
      <c r="O51" s="9"/>
      <c r="P51" s="9"/>
      <c r="Q51" s="13"/>
      <c r="R51" s="9"/>
      <c r="S51" s="9"/>
      <c r="T51" s="9"/>
      <c r="U51" s="9"/>
      <c r="V51" s="9"/>
      <c r="W51" s="13"/>
      <c r="X51" s="3" t="s">
        <v>565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6" t="s">
        <v>100</v>
      </c>
      <c r="B52" s="567"/>
      <c r="C52" s="816" t="s">
        <v>210</v>
      </c>
      <c r="D52" s="816"/>
      <c r="E52" s="816"/>
      <c r="F52" s="816"/>
      <c r="G52" s="816"/>
      <c r="H52" s="816"/>
      <c r="I52" s="816"/>
      <c r="J52" s="518"/>
      <c r="K52" s="623"/>
      <c r="L52" s="623"/>
      <c r="M52" s="623"/>
      <c r="N52" s="623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6" t="s">
        <v>101</v>
      </c>
      <c r="B53" s="567"/>
      <c r="C53" s="816" t="s">
        <v>571</v>
      </c>
      <c r="D53" s="816"/>
      <c r="E53" s="816"/>
      <c r="F53" s="816"/>
      <c r="G53" s="816"/>
      <c r="H53" s="816"/>
      <c r="I53" s="816"/>
      <c r="J53" s="518"/>
      <c r="K53" s="623"/>
      <c r="L53" s="623"/>
      <c r="M53" s="623"/>
      <c r="N53" s="623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6" t="s">
        <v>102</v>
      </c>
      <c r="B54" s="567"/>
      <c r="C54" s="816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16"/>
      <c r="E54" s="816"/>
      <c r="F54" s="816"/>
      <c r="G54" s="816"/>
      <c r="H54" s="816"/>
      <c r="I54" s="816"/>
      <c r="J54" s="517"/>
      <c r="K54" s="623"/>
      <c r="L54" s="623"/>
      <c r="M54" s="623"/>
      <c r="N54" s="623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12/31/2017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24" t="s">
        <v>188</v>
      </c>
      <c r="L61" s="625"/>
      <c r="M61" s="625" t="s">
        <v>164</v>
      </c>
      <c r="N61" s="626" t="s">
        <v>269</v>
      </c>
      <c r="O61" s="61" t="s">
        <v>189</v>
      </c>
      <c r="P61" s="61" t="s">
        <v>181</v>
      </c>
      <c r="Q61" s="627" t="s">
        <v>190</v>
      </c>
      <c r="R61" s="61" t="s">
        <v>191</v>
      </c>
      <c r="S61" s="61" t="s">
        <v>187</v>
      </c>
      <c r="T61" s="627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41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9" t="s">
        <v>1</v>
      </c>
      <c r="L64" s="9"/>
      <c r="M64" s="9"/>
      <c r="N64" s="9"/>
      <c r="O64" s="764">
        <v>0</v>
      </c>
      <c r="P64" s="56">
        <f>$I$34</f>
        <v>6.0658786668292206E-2</v>
      </c>
      <c r="Q64" s="628">
        <f>O64*P64</f>
        <v>0</v>
      </c>
      <c r="R64" s="700">
        <v>0</v>
      </c>
      <c r="S64" s="56">
        <f>$I$44</f>
        <v>7.5271804704773487E-2</v>
      </c>
      <c r="T64" s="628">
        <f>R64*S64</f>
        <v>0</v>
      </c>
      <c r="U64" s="765">
        <v>0</v>
      </c>
      <c r="V64" s="628">
        <f>Q64+T64+U64</f>
        <v>0</v>
      </c>
      <c r="W64" s="764">
        <v>0</v>
      </c>
      <c r="X64" s="628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9" t="s">
        <v>204</v>
      </c>
      <c r="L65" s="9"/>
      <c r="M65" s="9"/>
      <c r="N65" s="9"/>
      <c r="O65" s="764">
        <v>0</v>
      </c>
      <c r="P65" s="56">
        <f>$I$34</f>
        <v>6.0658786668292206E-2</v>
      </c>
      <c r="Q65" s="628">
        <f>O65*P65</f>
        <v>0</v>
      </c>
      <c r="R65" s="700">
        <v>0</v>
      </c>
      <c r="S65" s="56">
        <f>$I$44</f>
        <v>7.5271804704773487E-2</v>
      </c>
      <c r="T65" s="628">
        <f>R65*S65</f>
        <v>0</v>
      </c>
      <c r="U65" s="765">
        <v>0</v>
      </c>
      <c r="V65" s="628">
        <f>Q65+T65+U65</f>
        <v>0</v>
      </c>
      <c r="W65" s="764">
        <v>0</v>
      </c>
      <c r="X65" s="628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9" t="s">
        <v>205</v>
      </c>
      <c r="L66" s="9"/>
      <c r="M66" s="9"/>
      <c r="N66" s="9"/>
      <c r="O66" s="764">
        <v>0</v>
      </c>
      <c r="P66" s="56">
        <f>$I$34</f>
        <v>6.0658786668292206E-2</v>
      </c>
      <c r="Q66" s="628">
        <f>O66*P66</f>
        <v>0</v>
      </c>
      <c r="R66" s="700">
        <v>0</v>
      </c>
      <c r="S66" s="56">
        <f>$I$44</f>
        <v>7.5271804704773487E-2</v>
      </c>
      <c r="T66" s="628">
        <f>R66*S66</f>
        <v>0</v>
      </c>
      <c r="U66" s="765">
        <v>0</v>
      </c>
      <c r="V66" s="628">
        <f>Q66+T66+U66</f>
        <v>0</v>
      </c>
      <c r="W66" s="764">
        <v>0</v>
      </c>
      <c r="X66" s="628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9"/>
      <c r="L67" s="9"/>
      <c r="M67" s="9"/>
      <c r="N67" s="9"/>
      <c r="O67" s="9"/>
      <c r="P67" s="9"/>
      <c r="Q67" s="628"/>
      <c r="R67" s="9"/>
      <c r="S67" s="9"/>
      <c r="T67" s="628"/>
      <c r="U67" s="9"/>
      <c r="V67" s="628"/>
      <c r="W67" s="9"/>
      <c r="X67" s="628"/>
      <c r="Y67" s="73"/>
      <c r="Z67" s="73"/>
      <c r="AA67" s="73"/>
      <c r="AB67" s="73"/>
      <c r="AC67" s="73"/>
      <c r="AD67" s="73"/>
      <c r="AE67" s="73"/>
    </row>
    <row r="68" spans="11:31">
      <c r="K68" s="629"/>
      <c r="L68" s="9"/>
      <c r="M68" s="9"/>
      <c r="N68" s="9"/>
      <c r="O68" s="9"/>
      <c r="P68" s="9"/>
      <c r="Q68" s="628"/>
      <c r="R68" s="9"/>
      <c r="S68" s="9"/>
      <c r="T68" s="628"/>
      <c r="U68" s="9"/>
      <c r="V68" s="628"/>
      <c r="W68" s="9"/>
      <c r="X68" s="628"/>
      <c r="Y68" s="73"/>
      <c r="Z68" s="73"/>
      <c r="AA68" s="73"/>
      <c r="AB68" s="73"/>
      <c r="AC68" s="73"/>
      <c r="AD68" s="73"/>
      <c r="AE68" s="73"/>
    </row>
    <row r="69" spans="11:31">
      <c r="K69" s="629"/>
      <c r="L69" s="9"/>
      <c r="M69" s="9"/>
      <c r="N69" s="9"/>
      <c r="O69" s="9"/>
      <c r="P69" s="9"/>
      <c r="Q69" s="628"/>
      <c r="R69" s="9"/>
      <c r="S69" s="9"/>
      <c r="T69" s="628"/>
      <c r="U69" s="9"/>
      <c r="V69" s="628"/>
      <c r="W69" s="9"/>
      <c r="X69" s="628"/>
      <c r="Y69" s="73"/>
      <c r="Z69" s="73"/>
      <c r="AA69" s="73"/>
      <c r="AB69" s="73"/>
      <c r="AC69" s="73"/>
      <c r="AD69" s="73"/>
      <c r="AE69" s="73"/>
    </row>
    <row r="70" spans="11:31">
      <c r="K70" s="629"/>
      <c r="L70" s="9"/>
      <c r="M70" s="9"/>
      <c r="N70" s="9"/>
      <c r="O70" s="9"/>
      <c r="P70" s="9"/>
      <c r="Q70" s="628"/>
      <c r="R70" s="9"/>
      <c r="S70" s="9"/>
      <c r="T70" s="628"/>
      <c r="U70" s="9"/>
      <c r="V70" s="628"/>
      <c r="W70" s="9"/>
      <c r="X70" s="628"/>
      <c r="Y70" s="73"/>
      <c r="Z70" s="73"/>
      <c r="AA70" s="73"/>
      <c r="AB70" s="73"/>
      <c r="AC70" s="73"/>
      <c r="AD70" s="73"/>
      <c r="AE70" s="73"/>
    </row>
    <row r="71" spans="11:31">
      <c r="K71" s="629"/>
      <c r="L71" s="9"/>
      <c r="M71" s="9"/>
      <c r="N71" s="9"/>
      <c r="O71" s="9"/>
      <c r="P71" s="9"/>
      <c r="Q71" s="628"/>
      <c r="R71" s="9"/>
      <c r="S71" s="9"/>
      <c r="T71" s="628"/>
      <c r="U71" s="9"/>
      <c r="V71" s="628"/>
      <c r="W71" s="9"/>
      <c r="X71" s="628"/>
      <c r="Y71" s="73"/>
      <c r="Z71" s="73"/>
      <c r="AA71" s="73"/>
      <c r="AB71" s="73"/>
      <c r="AC71" s="73"/>
      <c r="AD71" s="73"/>
      <c r="AE71" s="73"/>
    </row>
    <row r="72" spans="11:31">
      <c r="K72" s="629"/>
      <c r="L72" s="9"/>
      <c r="M72" s="7"/>
      <c r="N72" s="7"/>
      <c r="O72" s="7"/>
      <c r="P72" s="7"/>
      <c r="Q72" s="630"/>
      <c r="R72" s="7"/>
      <c r="S72" s="7"/>
      <c r="T72" s="630"/>
      <c r="U72" s="7"/>
      <c r="V72" s="630"/>
      <c r="W72" s="7"/>
      <c r="X72" s="630"/>
      <c r="Y72" s="73"/>
      <c r="Z72" s="73"/>
      <c r="AA72" s="73"/>
      <c r="AB72" s="73"/>
      <c r="AC72" s="73"/>
      <c r="AD72" s="73"/>
      <c r="AE72" s="73"/>
    </row>
    <row r="73" spans="11:31">
      <c r="K73" s="629"/>
      <c r="L73" s="9"/>
      <c r="M73" s="7"/>
      <c r="N73" s="7"/>
      <c r="O73" s="7"/>
      <c r="P73" s="7"/>
      <c r="Q73" s="630"/>
      <c r="R73" s="7"/>
      <c r="S73" s="7"/>
      <c r="T73" s="630"/>
      <c r="U73" s="7"/>
      <c r="V73" s="630"/>
      <c r="W73" s="7"/>
      <c r="X73" s="630"/>
      <c r="Y73" s="73"/>
      <c r="Z73" s="73"/>
      <c r="AA73" s="73"/>
      <c r="AB73" s="73"/>
      <c r="AC73" s="73"/>
      <c r="AD73" s="73"/>
      <c r="AE73" s="73"/>
    </row>
    <row r="74" spans="11:31">
      <c r="K74" s="629"/>
      <c r="L74" s="9"/>
      <c r="M74" s="7"/>
      <c r="N74" s="7"/>
      <c r="O74" s="7"/>
      <c r="P74" s="7"/>
      <c r="Q74" s="630"/>
      <c r="R74" s="7"/>
      <c r="S74" s="7"/>
      <c r="T74" s="630"/>
      <c r="U74" s="7"/>
      <c r="V74" s="630"/>
      <c r="W74" s="7"/>
      <c r="X74" s="630"/>
      <c r="Y74" s="73"/>
      <c r="Z74" s="73"/>
      <c r="AA74" s="73"/>
      <c r="AB74" s="73"/>
      <c r="AC74" s="73"/>
      <c r="AD74" s="73"/>
      <c r="AE74" s="73"/>
    </row>
    <row r="75" spans="11:31">
      <c r="K75" s="629"/>
      <c r="L75" s="9"/>
      <c r="M75" s="7"/>
      <c r="N75" s="7"/>
      <c r="O75" s="7"/>
      <c r="P75" s="7"/>
      <c r="Q75" s="630"/>
      <c r="R75" s="7"/>
      <c r="S75" s="7"/>
      <c r="T75" s="630"/>
      <c r="U75" s="7"/>
      <c r="V75" s="630"/>
      <c r="W75" s="7"/>
      <c r="X75" s="630"/>
      <c r="Y75" s="73"/>
      <c r="Z75" s="73"/>
      <c r="AA75" s="73"/>
      <c r="AB75" s="73"/>
      <c r="AC75" s="73"/>
      <c r="AD75" s="73"/>
      <c r="AE75" s="73"/>
    </row>
    <row r="76" spans="11:31">
      <c r="K76" s="629"/>
      <c r="L76" s="9"/>
      <c r="M76" s="7"/>
      <c r="N76" s="7"/>
      <c r="O76" s="7"/>
      <c r="P76" s="7"/>
      <c r="Q76" s="630"/>
      <c r="R76" s="7"/>
      <c r="S76" s="7"/>
      <c r="T76" s="630"/>
      <c r="U76" s="7"/>
      <c r="V76" s="630"/>
      <c r="W76" s="7"/>
      <c r="X76" s="630"/>
      <c r="Y76" s="73"/>
      <c r="Z76" s="73"/>
      <c r="AA76" s="73"/>
      <c r="AB76" s="73"/>
      <c r="AC76" s="73"/>
      <c r="AD76" s="73"/>
      <c r="AE76" s="73"/>
    </row>
    <row r="77" spans="11:31">
      <c r="K77" s="629"/>
      <c r="L77" s="9"/>
      <c r="M77" s="7"/>
      <c r="N77" s="7"/>
      <c r="O77" s="7"/>
      <c r="P77" s="7"/>
      <c r="Q77" s="630"/>
      <c r="R77" s="7"/>
      <c r="S77" s="7"/>
      <c r="T77" s="630"/>
      <c r="U77" s="7"/>
      <c r="V77" s="630"/>
      <c r="W77" s="7"/>
      <c r="X77" s="630"/>
      <c r="Y77" s="73"/>
      <c r="Z77" s="73"/>
      <c r="AA77" s="73"/>
      <c r="AB77" s="73"/>
      <c r="AC77" s="73"/>
      <c r="AD77" s="73"/>
      <c r="AE77" s="73"/>
    </row>
    <row r="78" spans="11:31">
      <c r="K78" s="629"/>
      <c r="L78" s="9"/>
      <c r="M78" s="7"/>
      <c r="N78" s="7"/>
      <c r="O78" s="7"/>
      <c r="P78" s="7"/>
      <c r="Q78" s="630"/>
      <c r="R78" s="7"/>
      <c r="S78" s="7"/>
      <c r="T78" s="630"/>
      <c r="U78" s="7"/>
      <c r="V78" s="630"/>
      <c r="W78" s="7"/>
      <c r="X78" s="630"/>
      <c r="Y78" s="73"/>
      <c r="Z78" s="73"/>
      <c r="AA78" s="73"/>
      <c r="AB78" s="73"/>
      <c r="AC78" s="73"/>
      <c r="AD78" s="73"/>
      <c r="AE78" s="73"/>
    </row>
    <row r="79" spans="11:31">
      <c r="K79" s="629"/>
      <c r="L79" s="9"/>
      <c r="M79" s="7"/>
      <c r="N79" s="7"/>
      <c r="O79" s="7"/>
      <c r="P79" s="7"/>
      <c r="Q79" s="630"/>
      <c r="R79" s="7"/>
      <c r="S79" s="7"/>
      <c r="T79" s="630"/>
      <c r="U79" s="7"/>
      <c r="V79" s="630"/>
      <c r="W79" s="7"/>
      <c r="X79" s="630"/>
      <c r="Y79" s="73"/>
      <c r="Z79" s="73"/>
      <c r="AA79" s="73"/>
      <c r="AB79" s="73"/>
      <c r="AC79" s="73"/>
      <c r="AD79" s="73"/>
      <c r="AE79" s="73"/>
    </row>
    <row r="80" spans="11:31">
      <c r="K80" s="629"/>
      <c r="L80" s="9"/>
      <c r="M80" s="7"/>
      <c r="N80" s="7"/>
      <c r="O80" s="7"/>
      <c r="P80" s="7"/>
      <c r="Q80" s="630"/>
      <c r="R80" s="7"/>
      <c r="S80" s="7"/>
      <c r="T80" s="630"/>
      <c r="U80" s="7"/>
      <c r="V80" s="630"/>
      <c r="W80" s="7"/>
      <c r="X80" s="630"/>
      <c r="Y80" s="73"/>
      <c r="Z80" s="73"/>
      <c r="AA80" s="73"/>
      <c r="AB80" s="73"/>
      <c r="AC80" s="73"/>
      <c r="AD80" s="73"/>
      <c r="AE80" s="73"/>
    </row>
    <row r="81" spans="11:31">
      <c r="K81" s="629"/>
      <c r="L81" s="9"/>
      <c r="M81" s="7"/>
      <c r="N81" s="7"/>
      <c r="O81" s="7"/>
      <c r="P81" s="7"/>
      <c r="Q81" s="630"/>
      <c r="R81" s="7"/>
      <c r="S81" s="7"/>
      <c r="T81" s="630"/>
      <c r="U81" s="7"/>
      <c r="V81" s="630"/>
      <c r="W81" s="7"/>
      <c r="X81" s="630"/>
      <c r="Y81" s="73"/>
      <c r="Z81" s="73"/>
      <c r="AA81" s="73"/>
      <c r="AB81" s="73"/>
      <c r="AC81" s="73"/>
      <c r="AD81" s="73"/>
      <c r="AE81" s="73"/>
    </row>
    <row r="82" spans="11:31">
      <c r="K82" s="629"/>
      <c r="L82" s="9"/>
      <c r="M82" s="7"/>
      <c r="N82" s="7"/>
      <c r="O82" s="7"/>
      <c r="P82" s="7"/>
      <c r="Q82" s="630"/>
      <c r="R82" s="7"/>
      <c r="S82" s="7"/>
      <c r="T82" s="630"/>
      <c r="U82" s="7"/>
      <c r="V82" s="630"/>
      <c r="W82" s="7"/>
      <c r="X82" s="630"/>
      <c r="Y82" s="73"/>
      <c r="Z82" s="73"/>
      <c r="AA82" s="73"/>
      <c r="AB82" s="73"/>
      <c r="AC82" s="73"/>
      <c r="AD82" s="73"/>
      <c r="AE82" s="73"/>
    </row>
    <row r="83" spans="11:31">
      <c r="K83" s="631"/>
      <c r="L83" s="632"/>
      <c r="M83" s="633"/>
      <c r="N83" s="633"/>
      <c r="O83" s="633"/>
      <c r="P83" s="633"/>
      <c r="Q83" s="634"/>
      <c r="R83" s="633"/>
      <c r="S83" s="633"/>
      <c r="T83" s="634"/>
      <c r="U83" s="633"/>
      <c r="V83" s="634"/>
      <c r="W83" s="633"/>
      <c r="X83" s="634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5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 ht="32.4" customHeight="1">
      <c r="K91" s="810" t="s">
        <v>95</v>
      </c>
      <c r="L91" s="9"/>
      <c r="M91" s="820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73"/>
      <c r="Z91" s="73"/>
      <c r="AA91" s="73"/>
      <c r="AB91" s="73"/>
      <c r="AC91" s="73"/>
      <c r="AD91" s="73"/>
      <c r="AE91" s="73"/>
    </row>
    <row r="92" spans="11:31" ht="32.4" customHeight="1">
      <c r="K92" s="810" t="s">
        <v>96</v>
      </c>
      <c r="L92" s="9"/>
      <c r="M92" s="821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73"/>
      <c r="Z92" s="73"/>
      <c r="AA92" s="73"/>
      <c r="AB92" s="73"/>
      <c r="AC92" s="73"/>
      <c r="AD92" s="73"/>
      <c r="AE92" s="73"/>
    </row>
    <row r="93" spans="11:31" ht="32.4" customHeight="1">
      <c r="K93" s="810" t="s">
        <v>97</v>
      </c>
      <c r="L93" s="9"/>
      <c r="M93" s="821" t="s">
        <v>208</v>
      </c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73"/>
      <c r="Z93" s="73"/>
      <c r="AA93" s="73"/>
      <c r="AB93" s="73"/>
      <c r="AC93" s="73"/>
      <c r="AD93" s="73"/>
      <c r="AE93" s="73"/>
    </row>
    <row r="94" spans="11:31">
      <c r="K94" s="636" t="s">
        <v>98</v>
      </c>
      <c r="L94" s="9"/>
      <c r="M94" s="821" t="s">
        <v>209</v>
      </c>
      <c r="N94" s="821"/>
      <c r="O94" s="821"/>
      <c r="P94" s="821"/>
      <c r="Q94" s="821"/>
      <c r="R94" s="821"/>
      <c r="S94" s="821"/>
      <c r="T94" s="821"/>
      <c r="U94" s="821"/>
      <c r="V94" s="821"/>
      <c r="W94" s="821"/>
      <c r="X94" s="821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19" t="s">
        <v>568</v>
      </c>
      <c r="N95" s="819"/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19" t="s">
        <v>210</v>
      </c>
      <c r="N96" s="819"/>
      <c r="O96" s="819"/>
      <c r="P96" s="819"/>
      <c r="Q96" s="819"/>
      <c r="R96" s="819"/>
      <c r="S96" s="819"/>
      <c r="T96" s="819"/>
      <c r="U96" s="819"/>
      <c r="V96" s="819"/>
      <c r="W96" s="819"/>
      <c r="X96" s="819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19" t="s">
        <v>211</v>
      </c>
      <c r="N97" s="819"/>
      <c r="O97" s="819"/>
      <c r="P97" s="819"/>
      <c r="Q97" s="819"/>
      <c r="R97" s="819"/>
      <c r="S97" s="819"/>
      <c r="T97" s="819"/>
      <c r="U97" s="819"/>
      <c r="V97" s="819"/>
      <c r="W97" s="819"/>
      <c r="X97" s="819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19" t="s">
        <v>267</v>
      </c>
      <c r="N98" s="819"/>
      <c r="O98" s="819"/>
      <c r="P98" s="819"/>
      <c r="Q98" s="819"/>
      <c r="R98" s="819"/>
      <c r="S98" s="819"/>
      <c r="T98" s="819"/>
      <c r="U98" s="819"/>
      <c r="V98" s="819"/>
      <c r="W98" s="819"/>
      <c r="X98" s="819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2"/>
  <sheetViews>
    <sheetView view="pageBreakPreview" zoomScale="80" zoomScaleNormal="70" zoomScaleSheetLayoutView="80" workbookViewId="0">
      <selection activeCell="C2" sqref="C2"/>
    </sheetView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4.453125" customWidth="1"/>
    <col min="8" max="8" width="23.9062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12/31/2017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41"/>
      <c r="F7" s="86"/>
      <c r="G7" s="30"/>
    </row>
    <row r="8" spans="1:7">
      <c r="A8" s="817" t="str">
        <f>EKPC!A11</f>
        <v>East Kentucky Power Cooperative, Inc.</v>
      </c>
      <c r="B8" s="817"/>
      <c r="C8" s="817"/>
      <c r="D8" s="817"/>
      <c r="E8" s="817"/>
      <c r="F8" s="817"/>
      <c r="G8" s="30"/>
    </row>
    <row r="9" spans="1:7">
      <c r="A9" s="507" t="s">
        <v>605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737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6">
      <c r="A14" s="1"/>
      <c r="B14" s="1"/>
      <c r="C14" s="421" t="s">
        <v>410</v>
      </c>
      <c r="D14" s="1"/>
      <c r="E14" s="1"/>
      <c r="F14" s="386"/>
      <c r="G14" s="30"/>
    </row>
    <row r="15" spans="1:7">
      <c r="A15" s="1"/>
      <c r="B15" s="1"/>
      <c r="C15" s="1"/>
      <c r="D15" s="1"/>
      <c r="E15" s="1"/>
    </row>
    <row r="16" spans="1:7" ht="30">
      <c r="A16" s="739">
        <f>1</f>
        <v>1</v>
      </c>
      <c r="B16" s="566"/>
      <c r="C16" s="778" t="s">
        <v>644</v>
      </c>
      <c r="D16" s="566"/>
      <c r="E16" s="787">
        <f>77568620.81+64649.97</f>
        <v>77633270.780000001</v>
      </c>
      <c r="F16" s="576"/>
    </row>
    <row r="17" spans="1:12" ht="33.75" customHeight="1">
      <c r="A17" s="637">
        <f t="shared" ref="A17:A24" si="0">+A16+1</f>
        <v>2</v>
      </c>
      <c r="B17" s="566"/>
      <c r="C17" s="604" t="str">
        <f>CONCATENATE(H70,I76,"  (2)")</f>
        <v>Less: True Up Under/(Over) Recovery Adjustment for EKPC Appendix H-24A: Adjustment for 12 mo. ended 12/31/2016  (2)</v>
      </c>
      <c r="D17" s="566"/>
      <c r="E17" s="787">
        <v>64649.97</v>
      </c>
      <c r="F17" s="576"/>
    </row>
    <row r="18" spans="1:12" ht="30">
      <c r="A18" s="637">
        <f t="shared" si="0"/>
        <v>3</v>
      </c>
      <c r="B18" s="566"/>
      <c r="C18" s="604" t="str">
        <f>CONCATENATE("Transmission revenue requirements for the 12 months ended ",I77,"             (Line 1 - Line 2 )")</f>
        <v>Transmission revenue requirements for the 12 months ended 12/31/2017             (Line 1 - Line 2 )</v>
      </c>
      <c r="D18" s="566"/>
      <c r="E18" s="400">
        <f>E16-E17</f>
        <v>77568620.810000002</v>
      </c>
      <c r="F18" s="576"/>
    </row>
    <row r="19" spans="1:12">
      <c r="A19" s="637">
        <f t="shared" si="0"/>
        <v>4</v>
      </c>
      <c r="B19" s="566"/>
      <c r="C19" s="604" t="str">
        <f>CONCATENATE(H71,I77," (3)")</f>
        <v>Less: Actual Transmission Revenue Collected for 12 months Ended 12/31/2017 (3)</v>
      </c>
      <c r="D19" s="566"/>
      <c r="E19" s="788">
        <f>69983128.74+2676692.58+389294.76-2558.13+98378.44+2859.89</f>
        <v>73147796.280000001</v>
      </c>
      <c r="F19" s="576"/>
      <c r="H19" s="425"/>
      <c r="I19" s="425"/>
      <c r="J19" s="425"/>
    </row>
    <row r="20" spans="1:12" ht="30">
      <c r="A20" s="637">
        <f t="shared" si="0"/>
        <v>5</v>
      </c>
      <c r="B20" s="566"/>
      <c r="C20" s="604" t="s">
        <v>628</v>
      </c>
      <c r="D20" s="566"/>
      <c r="E20" s="400">
        <f>E18-E19</f>
        <v>4420824.5300000012</v>
      </c>
      <c r="F20" s="576"/>
    </row>
    <row r="21" spans="1:12">
      <c r="A21" s="637">
        <f t="shared" si="0"/>
        <v>6</v>
      </c>
      <c r="B21" s="566"/>
      <c r="C21" s="604" t="s">
        <v>420</v>
      </c>
      <c r="D21" s="566"/>
      <c r="E21" s="789">
        <f>(0.37%*3+0.35%*3+0.35%*3+0.33%*3+0.31%*3+0.29%*3)/18</f>
        <v>3.3333333333333331E-3</v>
      </c>
      <c r="F21" s="576"/>
    </row>
    <row r="22" spans="1:12">
      <c r="A22" s="637">
        <f t="shared" si="0"/>
        <v>7</v>
      </c>
      <c r="B22" s="566"/>
      <c r="C22" s="604" t="s">
        <v>419</v>
      </c>
      <c r="D22" s="566"/>
      <c r="E22" s="749">
        <v>24</v>
      </c>
      <c r="F22" s="576"/>
    </row>
    <row r="23" spans="1:12">
      <c r="A23" s="637">
        <f t="shared" si="0"/>
        <v>8</v>
      </c>
      <c r="B23" s="566"/>
      <c r="C23" s="604" t="s">
        <v>625</v>
      </c>
      <c r="D23" s="566"/>
      <c r="E23" s="638">
        <f>E20*E21*E22</f>
        <v>353665.96240000008</v>
      </c>
      <c r="F23" s="576"/>
    </row>
    <row r="24" spans="1:12" ht="15" customHeight="1" thickBot="1">
      <c r="A24" s="637">
        <f t="shared" si="0"/>
        <v>9</v>
      </c>
      <c r="B24" s="566"/>
      <c r="C24" s="604" t="s">
        <v>629</v>
      </c>
      <c r="D24" s="566"/>
      <c r="E24" s="639">
        <f>E20+E23</f>
        <v>4774490.4924000017</v>
      </c>
      <c r="F24" s="576"/>
    </row>
    <row r="25" spans="1:12" ht="15.6" thickTop="1">
      <c r="A25" s="637"/>
      <c r="B25" s="566"/>
      <c r="C25" s="604"/>
      <c r="D25" s="566"/>
      <c r="E25" s="640"/>
      <c r="F25" s="576"/>
    </row>
    <row r="26" spans="1:12">
      <c r="A26" s="637"/>
      <c r="B26" s="824" t="s">
        <v>144</v>
      </c>
      <c r="C26" s="824"/>
      <c r="D26" s="632"/>
      <c r="E26" s="632"/>
      <c r="F26" s="576"/>
    </row>
    <row r="27" spans="1:12">
      <c r="A27" s="637"/>
      <c r="B27" s="613" t="s">
        <v>16</v>
      </c>
      <c r="C27" s="815" t="str">
        <f>CONCATENATE("Revenue requirement from Page 1 of 5, line 7 of ",EKPC!J1,"  for the referenced year.")</f>
        <v>Revenue requirement from Page 1 of 5, line 7 of Attachment H-24A  for the referenced year.</v>
      </c>
      <c r="D27" s="825"/>
      <c r="E27" s="825"/>
      <c r="F27" s="576"/>
    </row>
    <row r="28" spans="1:12" ht="15.6">
      <c r="A28" s="637"/>
      <c r="B28" s="403" t="s">
        <v>17</v>
      </c>
      <c r="C28" s="566" t="str">
        <f>CONCATENATE("EKPC ",EKPC!J1,", page 1 of 5, Line 6a for the referenced recovery year")</f>
        <v>EKPC Attachment H-24A, page 1 of 5, Line 6a for the referenced recovery year</v>
      </c>
      <c r="D28" s="566"/>
      <c r="E28" s="566"/>
      <c r="F28" s="576"/>
      <c r="H28" s="730"/>
      <c r="I28" s="729"/>
      <c r="J28" s="729"/>
      <c r="K28" s="729"/>
      <c r="L28" s="729"/>
    </row>
    <row r="29" spans="1:12">
      <c r="A29" s="637"/>
      <c r="B29" s="641" t="s">
        <v>18</v>
      </c>
      <c r="C29" s="815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15"/>
      <c r="E29" s="815"/>
      <c r="F29" s="576"/>
    </row>
    <row r="30" spans="1:12" ht="15.6">
      <c r="A30" s="637"/>
      <c r="B30" s="641" t="s">
        <v>19</v>
      </c>
      <c r="C30" s="566" t="s">
        <v>630</v>
      </c>
      <c r="D30" s="566"/>
      <c r="E30" s="566"/>
      <c r="F30" s="576"/>
    </row>
    <row r="31" spans="1:12">
      <c r="A31" s="637"/>
      <c r="B31" s="641" t="s">
        <v>20</v>
      </c>
      <c r="C31" s="604" t="str">
        <f>CONCATENATE("Goes to  ",EKPC!J1,", page 1 of 5, line 6a")</f>
        <v>Goes to  Attachment H-24A, page 1 of 5, line 6a</v>
      </c>
      <c r="D31" s="566"/>
      <c r="E31" s="566"/>
      <c r="F31" s="576"/>
    </row>
    <row r="32" spans="1:12">
      <c r="A32" s="30"/>
      <c r="B32" s="30"/>
      <c r="C32" s="30"/>
      <c r="D32" s="30"/>
      <c r="E32" s="584" t="str">
        <f>E1</f>
        <v>Attachment H-24A</v>
      </c>
      <c r="F32" s="576"/>
    </row>
    <row r="33" spans="1:6">
      <c r="A33" s="30"/>
      <c r="B33" s="30"/>
      <c r="C33" s="736"/>
      <c r="D33" s="30"/>
      <c r="E33" s="584" t="s">
        <v>406</v>
      </c>
      <c r="F33" s="576"/>
    </row>
    <row r="34" spans="1:6">
      <c r="A34" s="30"/>
      <c r="B34" s="30"/>
      <c r="C34" s="30"/>
      <c r="D34" s="30"/>
      <c r="E34" s="167" t="s">
        <v>161</v>
      </c>
      <c r="F34" s="576"/>
    </row>
    <row r="35" spans="1:6">
      <c r="A35" s="30"/>
      <c r="B35" s="30"/>
      <c r="C35" s="30"/>
      <c r="D35" s="30"/>
      <c r="E35" s="31" t="str">
        <f>E4</f>
        <v>For the 12 months ended 12/31/2017</v>
      </c>
      <c r="F35" s="576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17" t="str">
        <f>A8</f>
        <v>East Kentucky Power Cooperative, Inc.</v>
      </c>
      <c r="B39" s="817"/>
      <c r="C39" s="817"/>
      <c r="D39" s="817"/>
      <c r="E39" s="817"/>
      <c r="F39" s="817"/>
    </row>
    <row r="40" spans="1:6">
      <c r="A40" s="642" t="s">
        <v>606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6"/>
      <c r="B44" s="566"/>
      <c r="C44" s="566"/>
      <c r="D44" s="566"/>
      <c r="E44" s="566"/>
      <c r="F44" s="30"/>
    </row>
    <row r="45" spans="1:6" ht="15.6">
      <c r="A45" s="566"/>
      <c r="B45" s="566"/>
      <c r="C45" s="643" t="s">
        <v>411</v>
      </c>
      <c r="D45" s="566"/>
      <c r="E45" s="566"/>
      <c r="F45" s="576"/>
    </row>
    <row r="46" spans="1:6" ht="30">
      <c r="A46" s="637">
        <f>+A24+1</f>
        <v>10</v>
      </c>
      <c r="B46" s="566"/>
      <c r="C46" s="778" t="s">
        <v>645</v>
      </c>
      <c r="D46" s="566"/>
      <c r="E46" s="788">
        <f>3340824.51+111345.01</f>
        <v>3452169.5199999996</v>
      </c>
      <c r="F46" s="576"/>
    </row>
    <row r="47" spans="1:6" ht="30">
      <c r="A47" s="637">
        <f t="shared" ref="A47:A54" si="1">+A46+1</f>
        <v>11</v>
      </c>
      <c r="B47" s="566"/>
      <c r="C47" s="604" t="str">
        <f>CONCATENATE(H72,I76,"  (7)")</f>
        <v>Less: True Up Under/(Over) Recovery Adjustment for EKPC Sch. 1A for for 12 mo. ended 12/31/2016  (7)</v>
      </c>
      <c r="D47" s="566"/>
      <c r="E47" s="790">
        <v>111345.01</v>
      </c>
      <c r="F47" s="576"/>
    </row>
    <row r="48" spans="1:6" ht="30">
      <c r="A48" s="637">
        <f t="shared" si="1"/>
        <v>12</v>
      </c>
      <c r="B48" s="566"/>
      <c r="C48" s="738" t="s">
        <v>638</v>
      </c>
      <c r="D48" s="566"/>
      <c r="E48" s="644">
        <f>E46-E47</f>
        <v>3340824.51</v>
      </c>
      <c r="F48" s="576"/>
    </row>
    <row r="49" spans="1:7">
      <c r="A49" s="637">
        <f t="shared" si="1"/>
        <v>13</v>
      </c>
      <c r="B49" s="566"/>
      <c r="C49" s="604" t="str">
        <f>CONCATENATE(H81,I77," (8)")</f>
        <v>Less: Actual Sch. 1A Revenue Collected for 12 months Ended 12/31/2017 (8)</v>
      </c>
      <c r="D49" s="566"/>
      <c r="E49" s="791">
        <v>3326249.49</v>
      </c>
      <c r="F49" s="576"/>
    </row>
    <row r="50" spans="1:7" ht="30">
      <c r="A50" s="399">
        <f t="shared" si="1"/>
        <v>14</v>
      </c>
      <c r="B50" s="1"/>
      <c r="C50" s="388" t="s">
        <v>442</v>
      </c>
      <c r="D50" s="1"/>
      <c r="E50" s="400">
        <f>E48-E49</f>
        <v>14575.019999999553</v>
      </c>
    </row>
    <row r="51" spans="1:7">
      <c r="A51" s="399">
        <f t="shared" si="1"/>
        <v>15</v>
      </c>
      <c r="B51" s="1"/>
      <c r="C51" s="501" t="s">
        <v>552</v>
      </c>
      <c r="D51" s="1"/>
      <c r="E51" s="401">
        <f>E21</f>
        <v>3.3333333333333331E-3</v>
      </c>
    </row>
    <row r="52" spans="1:7">
      <c r="A52" s="399">
        <f t="shared" si="1"/>
        <v>16</v>
      </c>
      <c r="B52" s="1"/>
      <c r="C52" s="388" t="s">
        <v>419</v>
      </c>
      <c r="D52" s="1"/>
      <c r="E52" s="405">
        <f>E22</f>
        <v>24</v>
      </c>
      <c r="G52" s="711"/>
    </row>
    <row r="53" spans="1:7" ht="30">
      <c r="A53" s="399">
        <f t="shared" si="1"/>
        <v>17</v>
      </c>
      <c r="B53" s="1"/>
      <c r="C53" s="516" t="s">
        <v>626</v>
      </c>
      <c r="D53" s="372"/>
      <c r="E53" s="398">
        <f>E50*E51*E52</f>
        <v>1166.0015999999641</v>
      </c>
    </row>
    <row r="54" spans="1:7" ht="30.6" thickBot="1">
      <c r="A54" s="399">
        <f t="shared" si="1"/>
        <v>18</v>
      </c>
      <c r="B54" s="1"/>
      <c r="C54" s="388" t="s">
        <v>627</v>
      </c>
      <c r="D54" s="1"/>
      <c r="E54" s="402">
        <f>E50+E53</f>
        <v>15741.021599999516</v>
      </c>
    </row>
    <row r="55" spans="1:7" ht="15.6" thickTop="1">
      <c r="A55" s="1"/>
      <c r="B55" s="1"/>
      <c r="C55" s="1"/>
      <c r="D55" s="1"/>
      <c r="E55" s="1"/>
    </row>
    <row r="56" spans="1:7">
      <c r="A56" s="1"/>
      <c r="B56" s="824" t="s">
        <v>144</v>
      </c>
      <c r="C56" s="824"/>
      <c r="D56" s="368"/>
      <c r="E56" s="368"/>
    </row>
    <row r="57" spans="1:7">
      <c r="A57" s="1"/>
      <c r="B57" s="404" t="s">
        <v>413</v>
      </c>
      <c r="C57" s="826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26"/>
      <c r="E57" s="826"/>
    </row>
    <row r="58" spans="1:7">
      <c r="A58" s="1"/>
      <c r="B58" s="404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4" t="s">
        <v>415</v>
      </c>
      <c r="C59" s="822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23"/>
      <c r="E59" s="823"/>
    </row>
    <row r="60" spans="1:7" ht="15.6">
      <c r="A60" s="1"/>
      <c r="B60" s="404" t="s">
        <v>443</v>
      </c>
      <c r="C60" s="1" t="s">
        <v>441</v>
      </c>
    </row>
    <row r="61" spans="1:7">
      <c r="A61" s="1"/>
      <c r="B61" s="404" t="s">
        <v>444</v>
      </c>
      <c r="C61" s="388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9"/>
    </row>
    <row r="68" spans="3:16" hidden="1">
      <c r="H68" s="408" t="s">
        <v>407</v>
      </c>
      <c r="I68" s="409"/>
      <c r="J68" s="409"/>
      <c r="K68" s="409"/>
      <c r="L68" s="409"/>
      <c r="M68" s="409"/>
      <c r="N68" s="409"/>
      <c r="O68" s="409"/>
      <c r="P68" s="758"/>
    </row>
    <row r="69" spans="3:16" hidden="1">
      <c r="H69" s="410" t="s">
        <v>551</v>
      </c>
      <c r="I69" s="406"/>
      <c r="J69" s="406"/>
      <c r="K69" s="406"/>
      <c r="L69" s="406"/>
      <c r="M69" s="406"/>
      <c r="N69" s="406"/>
      <c r="O69" s="406"/>
      <c r="P69" s="759"/>
    </row>
    <row r="70" spans="3:16" hidden="1">
      <c r="H70" s="411" t="s">
        <v>636</v>
      </c>
      <c r="I70" s="406"/>
      <c r="J70" s="406"/>
      <c r="K70" s="406"/>
      <c r="L70" s="406"/>
      <c r="M70" s="406"/>
      <c r="N70" s="406"/>
      <c r="O70" s="406"/>
      <c r="P70" s="759"/>
    </row>
    <row r="71" spans="3:16" hidden="1">
      <c r="H71" s="411" t="s">
        <v>418</v>
      </c>
      <c r="I71" s="406"/>
      <c r="J71" s="406"/>
      <c r="K71" s="406"/>
      <c r="L71" s="406"/>
      <c r="M71" s="406"/>
      <c r="N71" s="406"/>
      <c r="O71" s="406"/>
      <c r="P71" s="759"/>
    </row>
    <row r="72" spans="3:16" hidden="1">
      <c r="H72" s="411" t="s">
        <v>637</v>
      </c>
      <c r="I72" s="406"/>
      <c r="J72" s="406"/>
      <c r="K72" s="406"/>
      <c r="L72" s="406"/>
      <c r="M72" s="406"/>
      <c r="N72" s="406"/>
      <c r="O72" s="406"/>
      <c r="P72" s="759"/>
    </row>
    <row r="73" spans="3:16" hidden="1">
      <c r="H73" s="411" t="s">
        <v>408</v>
      </c>
      <c r="I73" s="406"/>
      <c r="J73" s="406"/>
      <c r="K73" s="406"/>
      <c r="L73" s="406"/>
      <c r="M73" s="406"/>
      <c r="N73" s="406"/>
      <c r="O73" s="406"/>
      <c r="P73" s="759"/>
    </row>
    <row r="74" spans="3:16" hidden="1">
      <c r="H74" s="411" t="s">
        <v>409</v>
      </c>
      <c r="I74" s="406"/>
      <c r="J74" s="406"/>
      <c r="K74" s="406"/>
      <c r="L74" s="406"/>
      <c r="M74" s="406"/>
      <c r="N74" s="406"/>
      <c r="O74" s="406"/>
      <c r="P74" s="759"/>
    </row>
    <row r="75" spans="3:16" hidden="1">
      <c r="H75" s="412">
        <f>IF(OR(MOD(K77,400)=0,AND(MOD(K77,4)=0,MOD(K77,100)&lt;&gt;0)),DATEVALUE(RIGHT(EKPC!J7,10))-366-365, DATEVALUE(RIGHT(EKPC!J7,10))-365-365)</f>
        <v>42370</v>
      </c>
      <c r="I75" s="406" t="str">
        <f>TEXT(H75,"mm/dd/yyyy")</f>
        <v>01/01/2016</v>
      </c>
      <c r="J75" s="406"/>
      <c r="K75" s="760">
        <f>K76-1</f>
        <v>2015</v>
      </c>
      <c r="L75" s="406"/>
      <c r="M75" s="406"/>
      <c r="N75" s="406"/>
      <c r="O75" s="406"/>
      <c r="P75" s="759"/>
    </row>
    <row r="76" spans="3:16" hidden="1">
      <c r="H76" s="412">
        <f>IF(OR(MOD(K77,400)=0,AND(MOD(K77,4)=0,MOD(K77,100)&lt;&gt;0)),DATEVALUE(RIGHT(EKPC!J7,10))-366, DATEVALUE(RIGHT(EKPC!J7,10))-365)</f>
        <v>42735</v>
      </c>
      <c r="I76" s="406" t="str">
        <f>TEXT(H76,"mm/dd/yyyy")</f>
        <v>12/31/2016</v>
      </c>
      <c r="J76" s="406"/>
      <c r="K76" s="760">
        <f>K77-1</f>
        <v>2016</v>
      </c>
      <c r="L76" s="406"/>
      <c r="M76" s="406"/>
      <c r="N76" s="406"/>
      <c r="O76" s="406"/>
      <c r="P76" s="759"/>
    </row>
    <row r="77" spans="3:16" hidden="1">
      <c r="H77" s="412">
        <f>DATEVALUE(RIGHT(EKPC!J7,10))</f>
        <v>43100</v>
      </c>
      <c r="I77" s="406" t="str">
        <f>TEXT(H77,"mm/dd/yyyy")</f>
        <v>12/31/2017</v>
      </c>
      <c r="J77" s="406"/>
      <c r="K77" s="760" t="str">
        <f>RIGHT(EKPC!J7,4)</f>
        <v>2017</v>
      </c>
      <c r="L77" s="406"/>
      <c r="M77" s="406"/>
      <c r="N77" s="406"/>
      <c r="O77" s="406"/>
      <c r="P77" s="759"/>
    </row>
    <row r="78" spans="3:16" hidden="1">
      <c r="H78" s="412">
        <f>IF(OR(MOD(K78,400)=0,AND(MOD(K78,4)=0,MOD(K78,100)&lt;&gt;0)),DATEVALUE(RIGHT(EKPC!J7,10))+366, DATEVALUE(RIGHT(EKPC!J7,10))+365)</f>
        <v>43465</v>
      </c>
      <c r="I78" s="406" t="str">
        <f>TEXT(H78,"mm/dd/yyyy")</f>
        <v>12/31/2018</v>
      </c>
      <c r="J78" s="406"/>
      <c r="K78" s="760">
        <f>K77+1</f>
        <v>2018</v>
      </c>
      <c r="L78" s="406"/>
      <c r="M78" s="406"/>
      <c r="N78" s="406"/>
      <c r="O78" s="406"/>
      <c r="P78" s="759"/>
    </row>
    <row r="79" spans="3:16" hidden="1">
      <c r="H79" s="412"/>
      <c r="I79" s="406"/>
      <c r="J79" s="406"/>
      <c r="K79" s="761"/>
      <c r="L79" s="406"/>
      <c r="M79" s="406"/>
      <c r="N79" s="406"/>
      <c r="O79" s="406"/>
      <c r="P79" s="759"/>
    </row>
    <row r="80" spans="3:16" hidden="1">
      <c r="H80" s="411" t="s">
        <v>412</v>
      </c>
      <c r="I80" s="406"/>
      <c r="J80" s="406"/>
      <c r="K80" s="406"/>
      <c r="L80" s="406"/>
      <c r="M80" s="406"/>
      <c r="N80" s="406"/>
      <c r="O80" s="406"/>
      <c r="P80" s="759"/>
    </row>
    <row r="81" spans="8:16" hidden="1">
      <c r="H81" s="413" t="s">
        <v>421</v>
      </c>
      <c r="I81" s="407"/>
      <c r="J81" s="407"/>
      <c r="K81" s="407"/>
      <c r="L81" s="407"/>
      <c r="M81" s="407"/>
      <c r="N81" s="407"/>
      <c r="O81" s="407"/>
      <c r="P81" s="762"/>
    </row>
    <row r="82" spans="8:16" ht="15.6" hidden="1">
      <c r="H82" s="763" t="s">
        <v>556</v>
      </c>
      <c r="I82" s="763"/>
      <c r="J82" s="763"/>
      <c r="K82" s="763"/>
      <c r="L82" s="763"/>
      <c r="M82" s="761"/>
      <c r="N82" s="761"/>
      <c r="O82" s="761"/>
      <c r="P82" s="761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  <pageSetUpPr fitToPage="1"/>
  </sheetPr>
  <dimension ref="A1:K103"/>
  <sheetViews>
    <sheetView zoomScale="80" zoomScaleNormal="80" zoomScaleSheetLayoutView="90" workbookViewId="0"/>
  </sheetViews>
  <sheetFormatPr defaultColWidth="8.81640625" defaultRowHeight="13.2"/>
  <cols>
    <col min="1" max="1" width="6.08984375" style="178" customWidth="1"/>
    <col min="2" max="2" width="8.81640625" style="178"/>
    <col min="3" max="3" width="0.90625" style="178" customWidth="1"/>
    <col min="4" max="4" width="8.81640625" style="178"/>
    <col min="5" max="5" width="1.54296875" style="178" customWidth="1"/>
    <col min="6" max="6" width="46.08984375" style="178" customWidth="1"/>
    <col min="7" max="7" width="6" style="178" customWidth="1"/>
    <col min="8" max="8" width="9.6328125" style="180" customWidth="1"/>
    <col min="9" max="16384" width="8.81640625" style="178"/>
  </cols>
  <sheetData>
    <row r="1" spans="1:11" ht="15">
      <c r="A1" s="645"/>
      <c r="B1" s="645"/>
      <c r="C1" s="645"/>
      <c r="D1" s="645"/>
      <c r="E1" s="645"/>
      <c r="F1" s="645"/>
      <c r="G1" s="645"/>
      <c r="H1" s="137" t="str">
        <f>EKPC!J1</f>
        <v>Attachment H-24A</v>
      </c>
    </row>
    <row r="2" spans="1:11" ht="15">
      <c r="A2" s="645"/>
      <c r="B2" s="645"/>
      <c r="C2" s="645"/>
      <c r="D2" s="645"/>
      <c r="E2" s="645"/>
      <c r="F2" s="645"/>
      <c r="G2" s="645"/>
      <c r="H2" s="99" t="s">
        <v>375</v>
      </c>
    </row>
    <row r="3" spans="1:11" ht="15">
      <c r="A3" s="645"/>
      <c r="B3" s="645"/>
      <c r="C3" s="645"/>
      <c r="D3" s="645"/>
      <c r="E3" s="645"/>
      <c r="F3" s="645"/>
      <c r="G3" s="645"/>
      <c r="H3" s="646"/>
      <c r="K3" s="99"/>
    </row>
    <row r="4" spans="1:11" ht="15">
      <c r="A4" s="828" t="str">
        <f>EKPC!A11</f>
        <v>East Kentucky Power Cooperative, Inc.</v>
      </c>
      <c r="B4" s="828"/>
      <c r="C4" s="828"/>
      <c r="D4" s="828"/>
      <c r="E4" s="828"/>
      <c r="F4" s="828"/>
      <c r="G4" s="828"/>
      <c r="H4" s="828"/>
      <c r="K4" s="741"/>
    </row>
    <row r="5" spans="1:11" ht="15">
      <c r="A5" s="829" t="s">
        <v>607</v>
      </c>
      <c r="B5" s="829"/>
      <c r="C5" s="829"/>
      <c r="D5" s="829"/>
      <c r="E5" s="829"/>
      <c r="F5" s="829"/>
      <c r="G5" s="829"/>
      <c r="H5" s="829"/>
    </row>
    <row r="6" spans="1:11" ht="15">
      <c r="A6" s="830" t="str">
        <f>CONCATENATE("Rates effective for year ending December 31, ",TEXT(RIGHT(EKPC!J7,10),"YYYY"))</f>
        <v>Rates effective for year ending December 31, 2017</v>
      </c>
      <c r="B6" s="830"/>
      <c r="C6" s="830"/>
      <c r="D6" s="830"/>
      <c r="E6" s="830"/>
      <c r="F6" s="830"/>
      <c r="G6" s="830"/>
      <c r="H6" s="830"/>
    </row>
    <row r="7" spans="1:11" ht="15">
      <c r="A7" s="645"/>
      <c r="B7" s="645"/>
      <c r="C7" s="645"/>
      <c r="D7" s="645"/>
      <c r="E7" s="645"/>
      <c r="F7" s="645"/>
      <c r="G7" s="645"/>
      <c r="H7" s="646"/>
    </row>
    <row r="8" spans="1:11" ht="15">
      <c r="A8" s="645"/>
      <c r="B8" s="647" t="s">
        <v>301</v>
      </c>
      <c r="C8" s="647"/>
      <c r="D8" s="647" t="s">
        <v>302</v>
      </c>
      <c r="E8" s="647"/>
      <c r="F8" s="647"/>
      <c r="G8" s="647"/>
      <c r="H8" s="648" t="s">
        <v>215</v>
      </c>
    </row>
    <row r="9" spans="1:11" ht="15">
      <c r="A9" s="647" t="s">
        <v>6</v>
      </c>
      <c r="B9" s="647" t="s">
        <v>303</v>
      </c>
      <c r="C9" s="647"/>
      <c r="D9" s="647" t="s">
        <v>303</v>
      </c>
      <c r="E9" s="647"/>
      <c r="F9" s="647"/>
      <c r="G9" s="647"/>
      <c r="H9" s="648" t="s">
        <v>304</v>
      </c>
    </row>
    <row r="10" spans="1:11" ht="15">
      <c r="A10" s="649" t="s">
        <v>8</v>
      </c>
      <c r="B10" s="649" t="s">
        <v>305</v>
      </c>
      <c r="C10" s="649"/>
      <c r="D10" s="649" t="s">
        <v>305</v>
      </c>
      <c r="E10" s="649"/>
      <c r="F10" s="649" t="s">
        <v>306</v>
      </c>
      <c r="G10" s="649"/>
      <c r="H10" s="650" t="s">
        <v>307</v>
      </c>
    </row>
    <row r="11" spans="1:11" ht="15">
      <c r="A11" s="645"/>
      <c r="B11" s="612" t="s">
        <v>296</v>
      </c>
      <c r="C11" s="647"/>
      <c r="D11" s="612" t="s">
        <v>297</v>
      </c>
      <c r="E11" s="647"/>
      <c r="F11" s="647" t="s">
        <v>298</v>
      </c>
      <c r="G11" s="647"/>
      <c r="H11" s="651" t="s">
        <v>308</v>
      </c>
    </row>
    <row r="12" spans="1:11" ht="15">
      <c r="A12" s="645"/>
      <c r="B12" s="612"/>
      <c r="C12" s="647"/>
      <c r="D12" s="612"/>
      <c r="E12" s="647"/>
      <c r="F12" s="647"/>
      <c r="G12" s="647"/>
      <c r="H12" s="648" t="s">
        <v>86</v>
      </c>
    </row>
    <row r="13" spans="1:11" ht="15.6">
      <c r="A13" s="645"/>
      <c r="B13" s="652" t="s">
        <v>471</v>
      </c>
      <c r="C13" s="652"/>
      <c r="D13" s="507"/>
      <c r="E13" s="507"/>
      <c r="F13" s="507"/>
      <c r="G13" s="507"/>
      <c r="H13" s="642"/>
    </row>
    <row r="14" spans="1:11" ht="15">
      <c r="A14" s="645"/>
      <c r="B14" s="645"/>
      <c r="C14" s="645"/>
      <c r="D14" s="645"/>
      <c r="E14" s="645"/>
      <c r="F14" s="645"/>
      <c r="G14" s="645"/>
      <c r="H14" s="653"/>
    </row>
    <row r="15" spans="1:11" ht="15">
      <c r="A15" s="647">
        <v>1</v>
      </c>
      <c r="B15" s="647">
        <v>350</v>
      </c>
      <c r="C15" s="645"/>
      <c r="D15" s="647">
        <v>350010</v>
      </c>
      <c r="E15" s="645"/>
      <c r="F15" s="645" t="s">
        <v>579</v>
      </c>
      <c r="G15" s="645"/>
      <c r="H15" s="746">
        <v>0</v>
      </c>
      <c r="J15" s="570"/>
      <c r="K15" s="570"/>
    </row>
    <row r="16" spans="1:11" ht="15">
      <c r="A16" s="647">
        <v>2</v>
      </c>
      <c r="B16" s="647">
        <v>353</v>
      </c>
      <c r="C16" s="645"/>
      <c r="D16" s="647">
        <v>353000</v>
      </c>
      <c r="E16" s="645"/>
      <c r="F16" s="645" t="s">
        <v>309</v>
      </c>
      <c r="G16" s="645"/>
      <c r="H16" s="746">
        <v>1.79</v>
      </c>
    </row>
    <row r="17" spans="1:9" ht="15">
      <c r="A17" s="647">
        <v>3</v>
      </c>
      <c r="B17" s="647">
        <v>353</v>
      </c>
      <c r="C17" s="645"/>
      <c r="D17" s="647">
        <v>353010</v>
      </c>
      <c r="E17" s="645"/>
      <c r="F17" s="645" t="s">
        <v>333</v>
      </c>
      <c r="G17" s="645"/>
      <c r="H17" s="746">
        <v>1.79</v>
      </c>
    </row>
    <row r="18" spans="1:9" ht="15">
      <c r="A18" s="647">
        <v>4</v>
      </c>
      <c r="B18" s="647">
        <v>354</v>
      </c>
      <c r="C18" s="645"/>
      <c r="D18" s="647">
        <v>354000</v>
      </c>
      <c r="E18" s="645"/>
      <c r="F18" s="645" t="s">
        <v>334</v>
      </c>
      <c r="G18" s="645"/>
      <c r="H18" s="746">
        <v>0.71</v>
      </c>
    </row>
    <row r="19" spans="1:9" ht="15">
      <c r="A19" s="647">
        <v>5</v>
      </c>
      <c r="B19" s="647">
        <v>355</v>
      </c>
      <c r="C19" s="645"/>
      <c r="D19" s="647">
        <v>355000</v>
      </c>
      <c r="E19" s="645"/>
      <c r="F19" s="645" t="s">
        <v>310</v>
      </c>
      <c r="G19" s="645"/>
      <c r="H19" s="746">
        <v>1.56</v>
      </c>
    </row>
    <row r="20" spans="1:9" ht="15">
      <c r="A20" s="647">
        <v>6</v>
      </c>
      <c r="B20" s="647">
        <v>356</v>
      </c>
      <c r="C20" s="645"/>
      <c r="D20" s="647">
        <v>356000</v>
      </c>
      <c r="E20" s="645"/>
      <c r="F20" s="645" t="s">
        <v>311</v>
      </c>
      <c r="G20" s="645"/>
      <c r="H20" s="746">
        <v>1.49</v>
      </c>
    </row>
    <row r="21" spans="1:9" ht="15">
      <c r="A21" s="647">
        <v>7</v>
      </c>
      <c r="B21" s="647">
        <v>359</v>
      </c>
      <c r="C21" s="647"/>
      <c r="D21" s="647">
        <v>359000</v>
      </c>
      <c r="E21" s="645"/>
      <c r="F21" s="645" t="s">
        <v>345</v>
      </c>
      <c r="G21" s="645"/>
      <c r="H21" s="746">
        <v>2.778</v>
      </c>
    </row>
    <row r="22" spans="1:9" ht="15">
      <c r="A22" s="647"/>
      <c r="B22" s="647"/>
      <c r="C22" s="647"/>
      <c r="D22" s="647"/>
      <c r="E22" s="645"/>
      <c r="F22" s="645"/>
      <c r="G22" s="645"/>
      <c r="H22" s="746"/>
    </row>
    <row r="23" spans="1:9" ht="15.6">
      <c r="A23" s="647"/>
      <c r="B23" s="652" t="s">
        <v>312</v>
      </c>
      <c r="C23" s="507"/>
      <c r="D23" s="507"/>
      <c r="E23" s="507"/>
      <c r="F23" s="507"/>
      <c r="G23" s="507"/>
      <c r="H23" s="747"/>
    </row>
    <row r="24" spans="1:9" ht="15">
      <c r="A24" s="647"/>
      <c r="B24" s="647"/>
      <c r="C24" s="647"/>
      <c r="D24" s="647"/>
      <c r="E24" s="645"/>
      <c r="F24" s="645"/>
      <c r="G24" s="645"/>
      <c r="H24" s="746"/>
    </row>
    <row r="25" spans="1:9" ht="15.6">
      <c r="A25" s="647">
        <v>8</v>
      </c>
      <c r="B25" s="647">
        <v>303</v>
      </c>
      <c r="C25" s="181"/>
      <c r="D25" s="647">
        <v>303000</v>
      </c>
      <c r="E25" s="645"/>
      <c r="F25" s="645" t="s">
        <v>314</v>
      </c>
      <c r="G25" s="645"/>
      <c r="H25" s="746">
        <v>2.8570000000000002</v>
      </c>
      <c r="I25" s="182"/>
    </row>
    <row r="26" spans="1:9" ht="15">
      <c r="A26" s="647">
        <v>9</v>
      </c>
      <c r="B26" s="647">
        <v>390</v>
      </c>
      <c r="C26" s="181"/>
      <c r="D26" s="647">
        <v>390000</v>
      </c>
      <c r="E26" s="645"/>
      <c r="F26" s="645" t="s">
        <v>335</v>
      </c>
      <c r="G26" s="645"/>
      <c r="H26" s="746">
        <v>4.7779999999999996</v>
      </c>
    </row>
    <row r="27" spans="1:9" ht="15">
      <c r="A27" s="647">
        <v>10</v>
      </c>
      <c r="B27" s="647">
        <v>391</v>
      </c>
      <c r="C27" s="181"/>
      <c r="D27" s="647">
        <v>391000</v>
      </c>
      <c r="E27" s="645"/>
      <c r="F27" s="645" t="s">
        <v>336</v>
      </c>
      <c r="G27" s="645"/>
      <c r="H27" s="746">
        <v>0.2</v>
      </c>
    </row>
    <row r="28" spans="1:9" ht="15">
      <c r="A28" s="647">
        <v>11</v>
      </c>
      <c r="B28" s="647">
        <v>391</v>
      </c>
      <c r="C28" s="181"/>
      <c r="D28" s="647">
        <v>391001</v>
      </c>
      <c r="E28" s="645"/>
      <c r="F28" s="645" t="s">
        <v>337</v>
      </c>
      <c r="G28" s="645"/>
      <c r="H28" s="746">
        <v>20</v>
      </c>
    </row>
    <row r="29" spans="1:9" ht="15">
      <c r="A29" s="647">
        <v>12</v>
      </c>
      <c r="B29" s="647">
        <v>392</v>
      </c>
      <c r="C29" s="181"/>
      <c r="D29" s="647">
        <v>392000</v>
      </c>
      <c r="E29" s="645"/>
      <c r="F29" s="645" t="s">
        <v>313</v>
      </c>
      <c r="G29" s="645"/>
      <c r="H29" s="748">
        <v>16.667000000000002</v>
      </c>
    </row>
    <row r="30" spans="1:9" ht="15">
      <c r="A30" s="647">
        <v>13</v>
      </c>
      <c r="B30" s="647">
        <v>393</v>
      </c>
      <c r="C30" s="181"/>
      <c r="D30" s="647">
        <v>393000</v>
      </c>
      <c r="E30" s="645"/>
      <c r="F30" s="645" t="s">
        <v>315</v>
      </c>
      <c r="G30" s="645"/>
      <c r="H30" s="748">
        <v>10</v>
      </c>
    </row>
    <row r="31" spans="1:9" ht="15">
      <c r="A31" s="647">
        <v>14</v>
      </c>
      <c r="B31" s="647">
        <v>394</v>
      </c>
      <c r="C31" s="181"/>
      <c r="D31" s="647">
        <v>394000</v>
      </c>
      <c r="E31" s="645"/>
      <c r="F31" s="645" t="s">
        <v>338</v>
      </c>
      <c r="G31" s="645"/>
      <c r="H31" s="746">
        <v>10</v>
      </c>
    </row>
    <row r="32" spans="1:9" ht="15">
      <c r="A32" s="647">
        <v>15</v>
      </c>
      <c r="B32" s="647">
        <v>395</v>
      </c>
      <c r="C32" s="181"/>
      <c r="D32" s="647">
        <v>395000</v>
      </c>
      <c r="E32" s="645"/>
      <c r="F32" s="645" t="s">
        <v>339</v>
      </c>
      <c r="G32" s="645"/>
      <c r="H32" s="746">
        <v>10</v>
      </c>
    </row>
    <row r="33" spans="1:8" ht="15">
      <c r="A33" s="647">
        <v>16</v>
      </c>
      <c r="B33" s="647">
        <v>396</v>
      </c>
      <c r="C33" s="181"/>
      <c r="D33" s="647">
        <v>396000</v>
      </c>
      <c r="E33" s="645"/>
      <c r="F33" s="645" t="s">
        <v>340</v>
      </c>
      <c r="G33" s="645"/>
      <c r="H33" s="746">
        <v>10</v>
      </c>
    </row>
    <row r="34" spans="1:8" ht="15">
      <c r="A34" s="647">
        <v>17</v>
      </c>
      <c r="B34" s="647">
        <v>397</v>
      </c>
      <c r="C34" s="181"/>
      <c r="D34" s="647">
        <v>397000</v>
      </c>
      <c r="E34" s="645"/>
      <c r="F34" s="645" t="s">
        <v>341</v>
      </c>
      <c r="G34" s="645"/>
      <c r="H34" s="746">
        <v>10</v>
      </c>
    </row>
    <row r="35" spans="1:8" ht="15">
      <c r="A35" s="647">
        <v>18</v>
      </c>
      <c r="B35" s="647">
        <v>397</v>
      </c>
      <c r="C35" s="647"/>
      <c r="D35" s="647">
        <v>397000</v>
      </c>
      <c r="E35" s="645"/>
      <c r="F35" s="645" t="s">
        <v>342</v>
      </c>
      <c r="G35" s="645"/>
      <c r="H35" s="746">
        <v>3.03</v>
      </c>
    </row>
    <row r="36" spans="1:8" ht="15">
      <c r="A36" s="647">
        <v>19</v>
      </c>
      <c r="B36" s="647">
        <v>397</v>
      </c>
      <c r="C36" s="647"/>
      <c r="D36" s="647">
        <v>397001</v>
      </c>
      <c r="E36" s="645"/>
      <c r="F36" s="645" t="s">
        <v>343</v>
      </c>
      <c r="G36" s="645"/>
      <c r="H36" s="746">
        <v>10</v>
      </c>
    </row>
    <row r="37" spans="1:8" ht="15">
      <c r="A37" s="647">
        <v>20</v>
      </c>
      <c r="B37" s="647">
        <v>398</v>
      </c>
      <c r="C37" s="647"/>
      <c r="D37" s="647">
        <v>398000</v>
      </c>
      <c r="E37" s="645"/>
      <c r="F37" s="645" t="s">
        <v>344</v>
      </c>
      <c r="G37" s="645"/>
      <c r="H37" s="746">
        <v>10</v>
      </c>
    </row>
    <row r="38" spans="1:8" ht="15">
      <c r="A38" s="645"/>
      <c r="B38" s="647"/>
      <c r="C38" s="647"/>
      <c r="D38" s="647"/>
      <c r="E38" s="645"/>
      <c r="F38" s="645"/>
      <c r="G38" s="645"/>
      <c r="H38" s="654"/>
    </row>
    <row r="39" spans="1:8" ht="15">
      <c r="A39" s="645"/>
      <c r="B39" s="827" t="s">
        <v>445</v>
      </c>
      <c r="C39" s="827"/>
      <c r="D39" s="827"/>
      <c r="E39" s="827"/>
      <c r="F39" s="827"/>
      <c r="G39" s="645"/>
      <c r="H39" s="646"/>
    </row>
    <row r="40" spans="1:8" ht="15">
      <c r="A40" s="645"/>
      <c r="B40" s="612" t="s">
        <v>16</v>
      </c>
      <c r="C40" s="647"/>
      <c r="D40" s="721" t="s">
        <v>446</v>
      </c>
      <c r="E40" s="646"/>
      <c r="F40" s="646"/>
      <c r="G40" s="645"/>
      <c r="H40" s="646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P23"/>
  <sheetViews>
    <sheetView zoomScale="80" zoomScaleNormal="80" zoomScaleSheetLayoutView="110" workbookViewId="0"/>
  </sheetViews>
  <sheetFormatPr defaultRowHeight="15"/>
  <cols>
    <col min="1" max="1" width="5" customWidth="1"/>
    <col min="2" max="2" width="11.453125" customWidth="1"/>
    <col min="3" max="3" width="12.6328125" customWidth="1"/>
    <col min="9" max="9" width="13.1796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553</v>
      </c>
    </row>
    <row r="3" spans="1:12">
      <c r="H3" s="1"/>
      <c r="I3" s="88" t="s">
        <v>384</v>
      </c>
      <c r="L3" s="741"/>
    </row>
    <row r="4" spans="1:12">
      <c r="B4" s="326"/>
      <c r="C4" s="326"/>
      <c r="D4" s="326"/>
      <c r="E4" s="326"/>
      <c r="F4" s="326"/>
      <c r="G4" s="771"/>
      <c r="H4" s="772"/>
      <c r="I4" s="773" t="s">
        <v>640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5"/>
      <c r="D6" s="335"/>
      <c r="E6" s="335"/>
      <c r="F6" s="335"/>
      <c r="G6" s="335"/>
      <c r="H6" s="335"/>
      <c r="I6" s="335"/>
    </row>
    <row r="7" spans="1:12">
      <c r="B7" s="831" t="str">
        <f>EKPC!A9</f>
        <v>Utilizing EKPC 2017 Form FF1 Data (ver. FINAL - AUDITED)</v>
      </c>
      <c r="C7" s="831"/>
      <c r="D7" s="831"/>
      <c r="E7" s="831"/>
      <c r="F7" s="831"/>
      <c r="G7" s="831"/>
      <c r="H7" s="831"/>
      <c r="I7" s="831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6">
      <c r="A9" s="568"/>
      <c r="B9" s="655" t="s">
        <v>398</v>
      </c>
      <c r="C9" s="335"/>
      <c r="D9" s="335"/>
      <c r="E9" s="335"/>
      <c r="F9" s="335"/>
      <c r="G9" s="335"/>
      <c r="H9" s="335"/>
      <c r="I9" s="335"/>
    </row>
    <row r="10" spans="1:12" ht="15.6">
      <c r="A10" s="568"/>
      <c r="B10" s="655" t="s">
        <v>353</v>
      </c>
      <c r="C10" s="335"/>
      <c r="D10" s="335"/>
      <c r="E10" s="335"/>
      <c r="F10" s="335"/>
      <c r="G10" s="335"/>
      <c r="H10" s="335"/>
      <c r="I10" s="335"/>
    </row>
    <row r="11" spans="1:12" ht="15.6">
      <c r="A11" s="568"/>
      <c r="B11" s="656"/>
      <c r="C11" s="657"/>
      <c r="D11" s="657"/>
      <c r="E11" s="658"/>
      <c r="F11" s="658"/>
      <c r="G11" s="657"/>
      <c r="H11" s="657"/>
      <c r="I11" s="657"/>
    </row>
    <row r="12" spans="1:12" ht="33" customHeight="1">
      <c r="A12" s="659" t="s">
        <v>188</v>
      </c>
      <c r="B12" s="660"/>
      <c r="C12" s="661" t="s">
        <v>354</v>
      </c>
      <c r="D12" s="661"/>
      <c r="E12" s="661" t="s">
        <v>355</v>
      </c>
      <c r="F12" s="661"/>
      <c r="G12" s="662" t="s">
        <v>608</v>
      </c>
      <c r="H12" s="660"/>
      <c r="I12" s="662" t="s">
        <v>609</v>
      </c>
    </row>
    <row r="13" spans="1:12">
      <c r="A13" s="311">
        <v>1</v>
      </c>
      <c r="B13" s="657" t="s">
        <v>149</v>
      </c>
      <c r="C13" s="774">
        <v>38138850</v>
      </c>
      <c r="D13" s="676"/>
      <c r="E13" s="663">
        <f>C13/C16</f>
        <v>0.61984339429846502</v>
      </c>
      <c r="F13" s="663"/>
      <c r="G13" s="726">
        <f>G16*E13</f>
        <v>0</v>
      </c>
      <c r="H13" s="657"/>
      <c r="I13" s="657"/>
    </row>
    <row r="14" spans="1:12">
      <c r="A14" s="311">
        <f>+A13+1</f>
        <v>2</v>
      </c>
      <c r="B14" s="657" t="s">
        <v>22</v>
      </c>
      <c r="C14" s="676">
        <v>23321421</v>
      </c>
      <c r="D14" s="677"/>
      <c r="E14" s="663">
        <f>C14/C16</f>
        <v>0.37902634066059943</v>
      </c>
      <c r="F14" s="663"/>
      <c r="G14" s="726">
        <f>E14*G16</f>
        <v>0</v>
      </c>
      <c r="H14" s="664"/>
      <c r="I14" s="665"/>
    </row>
    <row r="15" spans="1:12" ht="16.8">
      <c r="A15" s="311">
        <f t="shared" ref="A15:A16" si="0">+A14+1</f>
        <v>3</v>
      </c>
      <c r="B15" s="657" t="s">
        <v>150</v>
      </c>
      <c r="C15" s="775">
        <v>69545</v>
      </c>
      <c r="D15" s="678"/>
      <c r="E15" s="666">
        <f>C15/C16</f>
        <v>1.1302650409356011E-3</v>
      </c>
      <c r="F15" s="666"/>
      <c r="G15" s="727">
        <f>E15*G16</f>
        <v>0</v>
      </c>
      <c r="H15" s="657"/>
      <c r="I15" s="657"/>
    </row>
    <row r="16" spans="1:12" ht="17.399999999999999" thickBot="1">
      <c r="A16" s="311">
        <f t="shared" si="0"/>
        <v>4</v>
      </c>
      <c r="B16" s="657" t="s">
        <v>356</v>
      </c>
      <c r="C16" s="667">
        <f>SUM(C13:C15)</f>
        <v>61529816</v>
      </c>
      <c r="D16" s="657"/>
      <c r="E16" s="668">
        <f>SUM(E13:E15)</f>
        <v>1</v>
      </c>
      <c r="F16" s="668"/>
      <c r="G16" s="696">
        <v>0</v>
      </c>
      <c r="H16" s="657"/>
      <c r="I16" s="669">
        <f>G14+C14</f>
        <v>23321421</v>
      </c>
    </row>
    <row r="17" spans="1:16" ht="15.6" thickTop="1">
      <c r="A17" s="568"/>
      <c r="B17" s="665"/>
      <c r="C17" s="665"/>
      <c r="D17" s="665"/>
      <c r="E17" s="665"/>
      <c r="F17" s="665"/>
      <c r="G17" s="665"/>
      <c r="H17" s="665"/>
      <c r="I17" s="665"/>
    </row>
    <row r="18" spans="1:16">
      <c r="A18" s="568"/>
      <c r="B18" s="665"/>
      <c r="C18" s="665"/>
      <c r="D18" s="665"/>
      <c r="E18" s="665"/>
      <c r="F18" s="665"/>
      <c r="G18" s="665"/>
      <c r="H18" s="665"/>
      <c r="I18" s="665"/>
    </row>
    <row r="19" spans="1:16">
      <c r="A19" s="568"/>
      <c r="B19" s="670" t="s">
        <v>144</v>
      </c>
      <c r="C19" s="671"/>
      <c r="D19" s="671"/>
      <c r="E19" s="671"/>
      <c r="F19" s="672"/>
      <c r="G19" s="665"/>
      <c r="H19" s="665"/>
      <c r="I19" s="665"/>
    </row>
    <row r="20" spans="1:16" ht="15.6">
      <c r="A20" s="568"/>
      <c r="B20" s="673" t="s">
        <v>575</v>
      </c>
      <c r="C20" s="674"/>
      <c r="D20" s="674"/>
      <c r="E20" s="674"/>
      <c r="F20" s="675"/>
      <c r="G20" s="673"/>
      <c r="H20" s="673"/>
      <c r="I20" s="673"/>
    </row>
    <row r="21" spans="1:16">
      <c r="A21" s="568"/>
      <c r="B21" s="673" t="s">
        <v>399</v>
      </c>
      <c r="C21" s="569"/>
      <c r="D21" s="569"/>
      <c r="E21" s="569"/>
      <c r="F21" s="569"/>
      <c r="G21" s="569"/>
      <c r="H21" s="569"/>
      <c r="I21" s="569"/>
      <c r="J21" s="350"/>
      <c r="K21" s="350"/>
      <c r="L21" s="350"/>
      <c r="M21" s="350"/>
      <c r="N21" s="350"/>
      <c r="O21" s="350"/>
      <c r="P21" s="350"/>
    </row>
    <row r="22" spans="1:16">
      <c r="A22" s="568"/>
      <c r="B22" s="673" t="str">
        <f>CONCATENATE("(3) To ",EKPC!J1,", Page 2 of 5, Line 27.")</f>
        <v>(3) To Attachment H-24A, Page 2 of 5, Line 27.</v>
      </c>
      <c r="C22" s="569"/>
      <c r="D22" s="566"/>
      <c r="E22" s="569"/>
      <c r="F22" s="569"/>
      <c r="G22" s="568"/>
      <c r="H22" s="568"/>
      <c r="I22" s="568"/>
    </row>
    <row r="23" spans="1:16">
      <c r="B23" s="350"/>
      <c r="C23" s="350"/>
      <c r="D23" s="350"/>
      <c r="E23" s="350"/>
      <c r="F23" s="350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G39"/>
  <sheetViews>
    <sheetView zoomScale="80" zoomScaleNormal="80" zoomScaleSheetLayoutView="90" workbookViewId="0"/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383</v>
      </c>
    </row>
    <row r="4" spans="1:7" ht="17.399999999999999">
      <c r="B4" s="25"/>
      <c r="C4" s="17"/>
      <c r="D4" s="17"/>
      <c r="E4" s="168" t="str">
        <f>EKPC!$J$124</f>
        <v>For the 12 months ended 12/31/2017</v>
      </c>
    </row>
    <row r="5" spans="1:7" ht="17.399999999999999">
      <c r="B5" s="25"/>
      <c r="C5" s="17"/>
      <c r="D5" s="17"/>
      <c r="E5" s="168"/>
      <c r="G5" s="741"/>
    </row>
    <row r="6" spans="1:7" ht="15.6">
      <c r="B6" s="832" t="str">
        <f>EKPC!A11</f>
        <v>East Kentucky Power Cooperative, Inc.</v>
      </c>
      <c r="C6" s="832"/>
      <c r="D6" s="832"/>
      <c r="E6" s="832"/>
    </row>
    <row r="7" spans="1:7" ht="15.6">
      <c r="B7" s="832" t="str">
        <f>EKPC!A9</f>
        <v>Utilizing EKPC 2017 Form FF1 Data (ver. FINAL - AUDITED)</v>
      </c>
      <c r="C7" s="832"/>
      <c r="D7" s="832"/>
      <c r="E7" s="832"/>
    </row>
    <row r="9" spans="1:7">
      <c r="E9" s="168"/>
    </row>
    <row r="10" spans="1:7" ht="15.6">
      <c r="B10" s="16" t="s">
        <v>391</v>
      </c>
      <c r="C10" s="17"/>
      <c r="D10" s="17"/>
      <c r="E10" s="17"/>
    </row>
    <row r="12" spans="1:7">
      <c r="C12" s="143"/>
      <c r="D12" s="143"/>
    </row>
    <row r="13" spans="1:7" ht="33.6">
      <c r="A13" s="449" t="s">
        <v>188</v>
      </c>
      <c r="B13" s="431" t="s">
        <v>479</v>
      </c>
      <c r="C13" s="144" t="s">
        <v>221</v>
      </c>
      <c r="D13" s="145" t="s">
        <v>163</v>
      </c>
      <c r="E13" s="146" t="s">
        <v>385</v>
      </c>
    </row>
    <row r="14" spans="1:7">
      <c r="C14" s="143"/>
      <c r="D14" s="143"/>
      <c r="E14" s="143"/>
    </row>
    <row r="15" spans="1:7" ht="15.6">
      <c r="A15" s="430"/>
      <c r="B15" s="169"/>
      <c r="C15" s="147"/>
      <c r="D15" s="147"/>
      <c r="E15" s="147"/>
    </row>
    <row r="16" spans="1:7">
      <c r="C16" s="147"/>
      <c r="D16" s="147"/>
      <c r="E16" s="147"/>
    </row>
    <row r="17" spans="1:5">
      <c r="A17" s="430" t="s">
        <v>429</v>
      </c>
      <c r="B17" s="1" t="s">
        <v>332</v>
      </c>
      <c r="C17" s="723">
        <v>0</v>
      </c>
      <c r="D17" s="792">
        <v>27461.55</v>
      </c>
      <c r="E17" s="140">
        <f t="shared" ref="E17:E22" si="0">SUM(C17:D17)</f>
        <v>27461.55</v>
      </c>
    </row>
    <row r="18" spans="1:5">
      <c r="A18" s="458">
        <f>A17+1</f>
        <v>2</v>
      </c>
      <c r="C18" s="724">
        <v>0</v>
      </c>
      <c r="D18" s="744">
        <v>0</v>
      </c>
      <c r="E18" s="147">
        <f t="shared" si="0"/>
        <v>0</v>
      </c>
    </row>
    <row r="19" spans="1:5">
      <c r="A19" s="458">
        <f t="shared" ref="A19:A23" si="1">A18+1</f>
        <v>3</v>
      </c>
      <c r="C19" s="724">
        <v>0</v>
      </c>
      <c r="D19" s="744">
        <v>0</v>
      </c>
      <c r="E19" s="147">
        <f t="shared" si="0"/>
        <v>0</v>
      </c>
    </row>
    <row r="20" spans="1:5">
      <c r="A20" s="458">
        <f t="shared" si="1"/>
        <v>4</v>
      </c>
      <c r="C20" s="724">
        <v>0</v>
      </c>
      <c r="D20" s="744">
        <v>0</v>
      </c>
      <c r="E20" s="147">
        <f t="shared" si="0"/>
        <v>0</v>
      </c>
    </row>
    <row r="21" spans="1:5">
      <c r="A21" s="458">
        <f t="shared" si="1"/>
        <v>5</v>
      </c>
      <c r="C21" s="724">
        <v>0</v>
      </c>
      <c r="D21" s="744">
        <v>0</v>
      </c>
      <c r="E21" s="147">
        <f t="shared" si="0"/>
        <v>0</v>
      </c>
    </row>
    <row r="22" spans="1:5" ht="16.8">
      <c r="A22" s="458">
        <f t="shared" si="1"/>
        <v>6</v>
      </c>
      <c r="C22" s="725">
        <v>0</v>
      </c>
      <c r="D22" s="745">
        <v>0</v>
      </c>
      <c r="E22" s="148">
        <f t="shared" si="0"/>
        <v>0</v>
      </c>
    </row>
    <row r="23" spans="1:5" ht="16.8">
      <c r="A23" s="458">
        <f t="shared" si="1"/>
        <v>7</v>
      </c>
      <c r="B23" s="27" t="s">
        <v>397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7" t="s">
        <v>393</v>
      </c>
      <c r="C27" s="327"/>
      <c r="D27" s="327"/>
    </row>
    <row r="28" spans="1:5">
      <c r="B28" s="562" t="s">
        <v>572</v>
      </c>
      <c r="C28" s="7"/>
      <c r="D28" s="372"/>
    </row>
    <row r="29" spans="1:5">
      <c r="B29" s="373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  <pageSetUpPr fitToPage="1"/>
  </sheetPr>
  <dimension ref="A1:K52"/>
  <sheetViews>
    <sheetView zoomScale="70" zoomScaleNormal="70" zoomScaleSheetLayoutView="80" workbookViewId="0"/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7" ht="15">
      <c r="A1" s="28"/>
      <c r="B1" s="1"/>
      <c r="C1" s="1"/>
      <c r="D1" s="1"/>
      <c r="E1" s="337" t="str">
        <f>EKPC!J1</f>
        <v>Attachment H-24A</v>
      </c>
    </row>
    <row r="2" spans="1:7" ht="15">
      <c r="A2" s="28"/>
      <c r="B2" s="1"/>
      <c r="C2" s="1"/>
      <c r="D2" s="1"/>
      <c r="E2" s="168" t="s">
        <v>553</v>
      </c>
    </row>
    <row r="3" spans="1:7" ht="15">
      <c r="A3" s="28"/>
      <c r="B3" s="483"/>
      <c r="C3" s="17"/>
      <c r="D3" s="17"/>
      <c r="E3" s="168" t="s">
        <v>382</v>
      </c>
    </row>
    <row r="4" spans="1:7" ht="15.6">
      <c r="A4" s="28"/>
      <c r="B4" s="16"/>
      <c r="C4" s="17"/>
      <c r="D4" s="17"/>
      <c r="E4" s="168" t="str">
        <f>EKPC!$J$124</f>
        <v>For the 12 months ended 12/31/2017</v>
      </c>
    </row>
    <row r="5" spans="1:7" ht="15.6">
      <c r="A5" s="28"/>
      <c r="B5" s="16"/>
      <c r="C5" s="17"/>
      <c r="D5" s="17"/>
      <c r="E5" s="168"/>
      <c r="G5" s="741"/>
    </row>
    <row r="6" spans="1:7" ht="15.6">
      <c r="A6" s="28"/>
      <c r="B6" s="832" t="str">
        <f>EKPC!A11</f>
        <v>East Kentucky Power Cooperative, Inc.</v>
      </c>
      <c r="C6" s="832"/>
      <c r="D6" s="832"/>
      <c r="E6" s="832"/>
    </row>
    <row r="7" spans="1:7" ht="15.6">
      <c r="A7" s="28"/>
      <c r="B7" s="832" t="str">
        <f>EKPC!A9</f>
        <v>Utilizing EKPC 2017 Form FF1 Data (ver. FINAL - AUDITED)</v>
      </c>
      <c r="C7" s="832"/>
      <c r="D7" s="832"/>
      <c r="E7" s="832"/>
    </row>
    <row r="8" spans="1:7" ht="15">
      <c r="A8" s="28"/>
      <c r="B8" s="28"/>
      <c r="C8" s="28"/>
      <c r="D8" s="682"/>
      <c r="E8" s="28"/>
    </row>
    <row r="9" spans="1:7" ht="15.6">
      <c r="A9" s="28"/>
      <c r="B9" s="833" t="s">
        <v>549</v>
      </c>
      <c r="C9" s="833"/>
      <c r="D9" s="833"/>
      <c r="E9" s="833"/>
      <c r="F9" s="483"/>
    </row>
    <row r="10" spans="1:7" ht="15">
      <c r="A10" s="28"/>
      <c r="B10" s="8"/>
      <c r="C10" s="8"/>
      <c r="D10" s="28"/>
      <c r="E10" s="28"/>
      <c r="F10" s="483"/>
    </row>
    <row r="11" spans="1:7" ht="15.6">
      <c r="A11" s="28"/>
      <c r="B11" s="19"/>
      <c r="C11" s="19"/>
      <c r="D11" s="28"/>
      <c r="E11" s="28"/>
      <c r="F11" s="483"/>
    </row>
    <row r="12" spans="1:7" ht="15">
      <c r="A12" s="28"/>
      <c r="B12" s="18"/>
      <c r="C12" s="18"/>
      <c r="D12" s="28"/>
      <c r="E12" s="28"/>
      <c r="F12" s="483"/>
    </row>
    <row r="13" spans="1:7" ht="19.2">
      <c r="A13" s="683" t="s">
        <v>188</v>
      </c>
      <c r="B13" s="18"/>
      <c r="C13" s="21" t="s">
        <v>244</v>
      </c>
      <c r="D13" s="21" t="s">
        <v>321</v>
      </c>
      <c r="E13" s="28"/>
      <c r="F13" s="483"/>
    </row>
    <row r="14" spans="1:7" ht="15">
      <c r="A14" s="28"/>
      <c r="B14" s="18"/>
      <c r="C14" s="18"/>
      <c r="D14" s="28"/>
      <c r="E14" s="28"/>
      <c r="F14" s="483"/>
    </row>
    <row r="15" spans="1:7" ht="15.6">
      <c r="A15" s="447" t="s">
        <v>486</v>
      </c>
      <c r="B15" s="433" t="s">
        <v>580</v>
      </c>
      <c r="C15" s="432" t="s">
        <v>581</v>
      </c>
      <c r="D15" s="793">
        <v>688163</v>
      </c>
      <c r="E15" s="28"/>
      <c r="F15" s="483"/>
    </row>
    <row r="16" spans="1:7" ht="15">
      <c r="A16" s="28"/>
      <c r="B16" s="22"/>
      <c r="C16" s="432"/>
      <c r="D16" s="81"/>
      <c r="E16" s="28"/>
      <c r="F16" s="483"/>
    </row>
    <row r="17" spans="1:7" ht="16.8">
      <c r="A17" s="447" t="s">
        <v>206</v>
      </c>
      <c r="B17" s="23" t="s">
        <v>165</v>
      </c>
      <c r="C17" s="375"/>
      <c r="D17" s="766">
        <v>0</v>
      </c>
      <c r="E17" s="28"/>
      <c r="F17" s="1"/>
    </row>
    <row r="18" spans="1:7" ht="15">
      <c r="A18" s="28"/>
      <c r="B18" s="22"/>
      <c r="D18" s="81"/>
      <c r="E18" s="28"/>
      <c r="F18" s="483"/>
    </row>
    <row r="19" spans="1:7" ht="16.8">
      <c r="A19" s="447" t="s">
        <v>487</v>
      </c>
      <c r="B19" s="24" t="s">
        <v>484</v>
      </c>
      <c r="C19" s="432" t="s">
        <v>476</v>
      </c>
      <c r="D19" s="679">
        <f>D15-D17</f>
        <v>688163</v>
      </c>
      <c r="E19" s="28"/>
      <c r="F19" s="483"/>
    </row>
    <row r="20" spans="1:7" ht="15">
      <c r="A20" s="28"/>
      <c r="B20" s="22"/>
      <c r="C20" s="432"/>
      <c r="D20" s="81"/>
      <c r="E20" s="28"/>
      <c r="F20" s="483"/>
    </row>
    <row r="21" spans="1:7" ht="15">
      <c r="A21" s="28"/>
      <c r="B21" s="22"/>
      <c r="C21" s="432"/>
      <c r="D21" s="81"/>
      <c r="E21" s="28"/>
      <c r="F21" s="483"/>
    </row>
    <row r="22" spans="1:7" ht="15.6">
      <c r="A22" s="447" t="s">
        <v>488</v>
      </c>
      <c r="B22" s="434" t="s">
        <v>485</v>
      </c>
      <c r="C22" s="432" t="s">
        <v>475</v>
      </c>
      <c r="D22" s="793">
        <v>1682405</v>
      </c>
      <c r="E22" s="28"/>
      <c r="F22" s="483"/>
      <c r="G22" s="483"/>
    </row>
    <row r="23" spans="1:7" ht="15.6">
      <c r="A23" s="447"/>
      <c r="B23" s="434"/>
      <c r="C23" s="432"/>
      <c r="D23" s="680"/>
      <c r="E23" s="28"/>
      <c r="F23" s="483"/>
      <c r="G23" s="483"/>
    </row>
    <row r="24" spans="1:7" ht="15">
      <c r="A24" s="447" t="s">
        <v>176</v>
      </c>
      <c r="B24" s="414" t="s">
        <v>440</v>
      </c>
      <c r="C24" s="432" t="s">
        <v>478</v>
      </c>
      <c r="D24" s="680">
        <f>-D22*(1-EKPC!J220)</f>
        <v>-1404208.2809736133</v>
      </c>
      <c r="E24" s="483"/>
      <c r="F24" s="483"/>
      <c r="G24" s="483"/>
    </row>
    <row r="25" spans="1:7" ht="15">
      <c r="A25" s="447"/>
      <c r="B25" s="414"/>
      <c r="C25" s="432"/>
      <c r="D25" s="680"/>
      <c r="E25" s="483"/>
      <c r="F25" s="483"/>
      <c r="G25" s="483"/>
    </row>
    <row r="26" spans="1:7" ht="15.6">
      <c r="A26" s="447">
        <v>6</v>
      </c>
      <c r="B26" s="756" t="s">
        <v>632</v>
      </c>
      <c r="C26" s="432" t="s">
        <v>492</v>
      </c>
      <c r="D26" s="794">
        <f>14910.61+5289</f>
        <v>20199.61</v>
      </c>
      <c r="E26" s="782"/>
      <c r="F26" s="704"/>
      <c r="G26" s="483"/>
    </row>
    <row r="27" spans="1:7" ht="15">
      <c r="A27" s="447"/>
      <c r="B27" s="414"/>
      <c r="C27" s="432"/>
      <c r="D27" s="680"/>
      <c r="E27" s="483"/>
      <c r="F27" s="483"/>
      <c r="G27" s="483"/>
    </row>
    <row r="28" spans="1:7" ht="16.8">
      <c r="A28" s="447">
        <v>7</v>
      </c>
      <c r="B28" s="23" t="s">
        <v>472</v>
      </c>
      <c r="C28" s="432"/>
      <c r="D28" s="679">
        <f>D22+D24+D26</f>
        <v>298396.32902638672</v>
      </c>
      <c r="E28" s="28"/>
    </row>
    <row r="29" spans="1:7" ht="15">
      <c r="A29" s="28"/>
      <c r="B29" s="23"/>
      <c r="C29" s="432"/>
      <c r="D29" s="681"/>
      <c r="E29" s="28"/>
    </row>
    <row r="30" spans="1:7" ht="15">
      <c r="A30" s="28"/>
      <c r="B30" s="23"/>
      <c r="C30" s="23"/>
      <c r="D30" s="82"/>
      <c r="E30" s="28"/>
    </row>
    <row r="31" spans="1:7" ht="15.6">
      <c r="A31" s="448">
        <v>8</v>
      </c>
      <c r="B31" s="434" t="s">
        <v>582</v>
      </c>
      <c r="C31" s="441" t="s">
        <v>598</v>
      </c>
      <c r="D31" s="82"/>
      <c r="E31" s="28"/>
    </row>
    <row r="32" spans="1:7" ht="15">
      <c r="A32" s="448">
        <v>9</v>
      </c>
      <c r="B32" s="23" t="s">
        <v>545</v>
      </c>
      <c r="C32" s="375"/>
      <c r="D32" s="793">
        <v>0</v>
      </c>
      <c r="E32" s="545"/>
      <c r="F32" s="28"/>
    </row>
    <row r="33" spans="1:11" ht="15">
      <c r="A33" s="448">
        <v>10</v>
      </c>
      <c r="B33" s="23" t="s">
        <v>544</v>
      </c>
      <c r="C33" s="375"/>
      <c r="D33" s="795">
        <v>0</v>
      </c>
      <c r="E33" s="545"/>
      <c r="F33" s="28"/>
    </row>
    <row r="34" spans="1:11" ht="15">
      <c r="A34" s="448">
        <v>11</v>
      </c>
      <c r="B34" s="23" t="s">
        <v>543</v>
      </c>
      <c r="C34" s="375"/>
      <c r="D34" s="793">
        <v>0</v>
      </c>
      <c r="E34" s="545"/>
      <c r="F34" s="28"/>
    </row>
    <row r="35" spans="1:11" ht="15">
      <c r="A35" s="448">
        <v>12</v>
      </c>
      <c r="B35" s="156" t="s">
        <v>564</v>
      </c>
      <c r="C35" s="375"/>
      <c r="D35" s="796">
        <v>0</v>
      </c>
      <c r="E35" s="545"/>
      <c r="F35" s="28"/>
    </row>
    <row r="36" spans="1:11" ht="15">
      <c r="A36" s="448"/>
      <c r="B36" s="23"/>
      <c r="C36" s="23"/>
      <c r="D36" s="81"/>
      <c r="E36" s="28"/>
      <c r="F36" s="709"/>
    </row>
    <row r="37" spans="1:11" ht="15.6" thickBot="1">
      <c r="A37" s="448">
        <v>13</v>
      </c>
      <c r="B37" s="28"/>
      <c r="C37" s="28"/>
      <c r="D37" s="697">
        <f>SUM(D32:D36)</f>
        <v>0</v>
      </c>
      <c r="E37" s="28"/>
      <c r="F37" s="710"/>
      <c r="G37" s="485"/>
      <c r="H37" s="485"/>
      <c r="I37" s="485"/>
      <c r="J37" s="485"/>
    </row>
    <row r="38" spans="1:11" ht="15.6" thickTop="1">
      <c r="A38" s="448"/>
      <c r="B38" s="28"/>
      <c r="C38" s="28"/>
      <c r="D38" s="698"/>
      <c r="E38" s="28"/>
      <c r="F38" s="710"/>
      <c r="G38" s="485"/>
      <c r="H38" s="485"/>
      <c r="I38" s="485"/>
      <c r="J38" s="485"/>
      <c r="K38" s="485"/>
    </row>
    <row r="39" spans="1:11" ht="15.6">
      <c r="A39" s="448">
        <v>14</v>
      </c>
      <c r="B39" s="23" t="s">
        <v>546</v>
      </c>
      <c r="C39" s="23"/>
      <c r="D39" s="708">
        <f>(D37/3)*5/12</f>
        <v>0</v>
      </c>
      <c r="E39" s="684"/>
      <c r="F39" s="545"/>
      <c r="G39" s="485"/>
      <c r="H39" s="485"/>
      <c r="I39" s="485"/>
      <c r="J39" s="485"/>
      <c r="K39" s="485"/>
    </row>
    <row r="40" spans="1:11" ht="19.5" customHeight="1">
      <c r="A40" s="28"/>
      <c r="B40" s="28"/>
      <c r="C40" s="28"/>
      <c r="D40" s="28"/>
      <c r="E40" s="483"/>
      <c r="F40" s="483"/>
      <c r="G40" s="483"/>
    </row>
    <row r="41" spans="1:11" ht="15">
      <c r="A41" s="28"/>
      <c r="B41" s="18"/>
      <c r="C41" s="18"/>
      <c r="D41" s="28"/>
      <c r="E41" s="483"/>
      <c r="F41" s="483"/>
      <c r="G41" s="483"/>
    </row>
    <row r="42" spans="1:11" ht="15">
      <c r="A42" s="28"/>
      <c r="B42" s="607" t="s">
        <v>393</v>
      </c>
      <c r="C42" s="608"/>
      <c r="D42" s="608"/>
      <c r="E42" s="608"/>
    </row>
    <row r="43" spans="1:11" ht="15">
      <c r="A43" s="545"/>
      <c r="B43" s="609" t="str">
        <f>CONCATENATE("(1) To ",EKPC!J1,", Page 3 of 5, Line 5")</f>
        <v>(1) To Attachment H-24A, Page 3 of 5, Line 5</v>
      </c>
      <c r="C43" s="545"/>
      <c r="D43" s="545"/>
      <c r="E43" s="545"/>
      <c r="F43" s="485"/>
    </row>
    <row r="44" spans="1:11" ht="15.6">
      <c r="A44" s="545"/>
      <c r="B44" s="610" t="s">
        <v>633</v>
      </c>
      <c r="C44" s="545"/>
      <c r="D44" s="611"/>
      <c r="E44" s="545"/>
      <c r="F44" s="485"/>
    </row>
    <row r="45" spans="1:11" ht="31.2" customHeight="1">
      <c r="A45" s="545"/>
      <c r="B45" s="834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34"/>
      <c r="D45" s="834"/>
      <c r="E45" s="834"/>
      <c r="F45" s="485"/>
    </row>
    <row r="46" spans="1:11" ht="15">
      <c r="A46" s="545"/>
      <c r="B46" s="610" t="s">
        <v>635</v>
      </c>
      <c r="F46" s="485"/>
    </row>
    <row r="47" spans="1:11" ht="15">
      <c r="A47" s="545"/>
      <c r="B47" s="545" t="s">
        <v>634</v>
      </c>
      <c r="C47" s="545"/>
      <c r="D47" s="545"/>
      <c r="E47" s="545"/>
      <c r="F47" s="485"/>
    </row>
    <row r="48" spans="1:11">
      <c r="A48" s="485"/>
      <c r="B48" s="485"/>
      <c r="C48" s="485"/>
      <c r="D48" s="485"/>
      <c r="E48" s="485"/>
      <c r="F48" s="485"/>
    </row>
    <row r="49" spans="1:6">
      <c r="A49" s="485"/>
      <c r="B49" s="485"/>
      <c r="C49" s="485"/>
      <c r="D49" s="485"/>
      <c r="E49" s="485"/>
      <c r="F49" s="485"/>
    </row>
    <row r="50" spans="1:6">
      <c r="A50" s="485"/>
      <c r="C50" s="485"/>
      <c r="D50" s="485"/>
      <c r="E50" s="485"/>
      <c r="F50" s="485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50"/>
    <pageSetUpPr fitToPage="1"/>
  </sheetPr>
  <dimension ref="A1:Y48"/>
  <sheetViews>
    <sheetView zoomScale="70" zoomScaleNormal="70" workbookViewId="0"/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7">
      <c r="E1" s="337" t="str">
        <f>EKPC!J1</f>
        <v>Attachment H-24A</v>
      </c>
    </row>
    <row r="2" spans="1:7">
      <c r="E2" s="168" t="s">
        <v>553</v>
      </c>
    </row>
    <row r="3" spans="1:7">
      <c r="B3"/>
      <c r="C3" s="17"/>
      <c r="D3" s="17"/>
      <c r="E3" s="168" t="s">
        <v>381</v>
      </c>
    </row>
    <row r="4" spans="1:7" ht="17.399999999999999">
      <c r="B4" s="25"/>
      <c r="C4" s="17"/>
      <c r="D4" s="17"/>
      <c r="E4" s="168" t="str">
        <f>EKPC!$J$124</f>
        <v>For the 12 months ended 12/31/2017</v>
      </c>
      <c r="F4" s="139"/>
    </row>
    <row r="5" spans="1:7" ht="17.399999999999999">
      <c r="B5" s="25"/>
      <c r="C5" s="17"/>
      <c r="D5" s="17"/>
      <c r="E5" s="168"/>
      <c r="F5" s="139"/>
      <c r="G5" s="741"/>
    </row>
    <row r="6" spans="1:7" ht="15.6">
      <c r="A6" s="832" t="str">
        <f>EKPC!A11</f>
        <v>East Kentucky Power Cooperative, Inc.</v>
      </c>
      <c r="B6" s="832"/>
      <c r="C6" s="832"/>
      <c r="D6" s="832"/>
      <c r="E6" s="435"/>
      <c r="F6" s="139"/>
    </row>
    <row r="7" spans="1:7" ht="15.6">
      <c r="A7" s="832" t="str">
        <f>EKPC!A9</f>
        <v>Utilizing EKPC 2017 Form FF1 Data (ver. FINAL - AUDITED)</v>
      </c>
      <c r="B7" s="832"/>
      <c r="C7" s="832"/>
      <c r="D7" s="832"/>
      <c r="E7" s="435"/>
      <c r="F7" s="139"/>
    </row>
    <row r="8" spans="1:7" ht="15.6">
      <c r="B8" s="16"/>
      <c r="C8" s="17"/>
      <c r="D8" s="168"/>
      <c r="F8" s="139"/>
    </row>
    <row r="9" spans="1:7" ht="15.6">
      <c r="A9" s="832" t="s">
        <v>148</v>
      </c>
      <c r="B9" s="832"/>
      <c r="C9" s="832"/>
      <c r="D9" s="832"/>
      <c r="F9" s="139"/>
    </row>
    <row r="10" spans="1:7" ht="15.6">
      <c r="B10" s="16"/>
      <c r="C10" s="17"/>
      <c r="D10" s="17"/>
      <c r="F10" s="139"/>
    </row>
    <row r="11" spans="1:7" ht="15.6">
      <c r="B11" s="19"/>
      <c r="C11" s="429"/>
      <c r="D11" s="18"/>
      <c r="F11" s="139"/>
    </row>
    <row r="12" spans="1:7" ht="19.2">
      <c r="B12" s="18"/>
      <c r="C12" s="79"/>
      <c r="D12" s="20"/>
      <c r="F12" s="139"/>
    </row>
    <row r="13" spans="1:7" ht="19.8" thickBot="1">
      <c r="A13" s="431" t="s">
        <v>188</v>
      </c>
      <c r="B13" s="18"/>
      <c r="C13" s="80"/>
      <c r="D13" s="21" t="s">
        <v>321</v>
      </c>
      <c r="F13" s="139"/>
    </row>
    <row r="14" spans="1:7" ht="19.8" thickBot="1">
      <c r="B14" s="29" t="s">
        <v>166</v>
      </c>
      <c r="C14" s="80"/>
      <c r="D14" s="21"/>
      <c r="F14" s="139"/>
    </row>
    <row r="15" spans="1:7" ht="17.25" customHeight="1">
      <c r="A15" s="430" t="s">
        <v>486</v>
      </c>
      <c r="B15" s="176" t="s">
        <v>469</v>
      </c>
      <c r="C15" s="81"/>
      <c r="D15" s="793">
        <v>41811754</v>
      </c>
    </row>
    <row r="16" spans="1:7" ht="15.6">
      <c r="A16" s="428"/>
      <c r="B16" s="375"/>
      <c r="C16" s="82"/>
      <c r="D16" s="82"/>
      <c r="F16" s="139"/>
    </row>
    <row r="17" spans="1:9" ht="34.5" customHeight="1">
      <c r="A17" s="430" t="s">
        <v>206</v>
      </c>
      <c r="B17" s="836" t="s">
        <v>489</v>
      </c>
      <c r="C17" s="825"/>
      <c r="D17" s="26">
        <v>0</v>
      </c>
      <c r="F17" s="139"/>
    </row>
    <row r="18" spans="1:9" ht="15.6">
      <c r="A18" s="465"/>
      <c r="B18" s="23"/>
      <c r="C18" s="82"/>
      <c r="D18" s="82"/>
      <c r="F18" s="139"/>
    </row>
    <row r="19" spans="1:9" ht="17.25" customHeight="1">
      <c r="A19" s="430" t="s">
        <v>487</v>
      </c>
      <c r="B19" s="374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41811754</v>
      </c>
      <c r="F19" s="139"/>
    </row>
    <row r="20" spans="1:9" ht="14.25" customHeight="1">
      <c r="A20" s="465"/>
      <c r="B20" s="24"/>
      <c r="C20" s="83"/>
      <c r="D20" s="83"/>
      <c r="F20" s="139"/>
    </row>
    <row r="21" spans="1:9" ht="10.5" customHeight="1">
      <c r="A21" s="465"/>
      <c r="B21" s="24"/>
      <c r="C21" s="83"/>
      <c r="D21" s="83"/>
      <c r="F21" s="139"/>
    </row>
    <row r="22" spans="1:9" ht="16.2" thickBot="1">
      <c r="A22" s="465"/>
      <c r="B22" s="23"/>
      <c r="C22" s="82"/>
      <c r="D22" s="82"/>
      <c r="F22" s="139"/>
    </row>
    <row r="23" spans="1:9" ht="16.2" thickBot="1">
      <c r="A23" s="465"/>
      <c r="B23" s="29" t="s">
        <v>167</v>
      </c>
      <c r="C23" s="82"/>
      <c r="D23" s="82"/>
      <c r="F23" s="139"/>
    </row>
    <row r="24" spans="1:9" ht="17.25" customHeight="1">
      <c r="A24" s="430" t="s">
        <v>488</v>
      </c>
      <c r="B24" s="176" t="s">
        <v>569</v>
      </c>
      <c r="C24" s="81"/>
      <c r="D24" s="793">
        <f>59712699-4730054.27</f>
        <v>54982644.730000004</v>
      </c>
    </row>
    <row r="25" spans="1:9" ht="15.6">
      <c r="A25" s="465"/>
      <c r="B25" s="375"/>
      <c r="C25" s="82"/>
      <c r="D25" s="82"/>
      <c r="F25" s="139"/>
    </row>
    <row r="26" spans="1:9" ht="16.8">
      <c r="A26" s="430" t="s">
        <v>176</v>
      </c>
      <c r="B26" s="467" t="s">
        <v>489</v>
      </c>
      <c r="C26" s="26"/>
      <c r="D26" s="26">
        <f>D17</f>
        <v>0</v>
      </c>
      <c r="F26" s="139"/>
      <c r="G26"/>
    </row>
    <row r="27" spans="1:9" ht="15.6">
      <c r="A27" s="465"/>
      <c r="B27" s="23"/>
      <c r="C27" s="82"/>
      <c r="D27" s="82"/>
      <c r="F27" s="139"/>
    </row>
    <row r="28" spans="1:9" ht="17.25" customHeight="1">
      <c r="A28" s="430" t="s">
        <v>177</v>
      </c>
      <c r="B28" s="374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54982644.730000004</v>
      </c>
      <c r="F28" s="139"/>
    </row>
    <row r="29" spans="1:9" ht="14.25" customHeight="1">
      <c r="A29" s="465"/>
      <c r="B29" s="24"/>
      <c r="C29" s="83"/>
      <c r="D29" s="83"/>
      <c r="G29" s="2"/>
    </row>
    <row r="30" spans="1:9" ht="10.5" customHeight="1">
      <c r="A30" s="465"/>
      <c r="B30" s="24"/>
      <c r="C30" s="83"/>
      <c r="D30" s="83"/>
      <c r="G30" s="2"/>
    </row>
    <row r="31" spans="1:9" ht="16.2" thickBot="1">
      <c r="A31" s="465"/>
      <c r="B31" s="23"/>
      <c r="C31" s="82"/>
      <c r="D31" s="82"/>
      <c r="F31" s="308"/>
      <c r="G31" s="2"/>
      <c r="H31" s="2"/>
      <c r="I31" s="2"/>
    </row>
    <row r="32" spans="1:9" ht="16.2" thickBot="1">
      <c r="A32" s="465"/>
      <c r="B32" s="29" t="s">
        <v>168</v>
      </c>
      <c r="C32" s="82"/>
      <c r="D32" s="82"/>
      <c r="F32" s="309"/>
      <c r="G32"/>
      <c r="H32" s="2"/>
      <c r="I32" s="2"/>
    </row>
    <row r="33" spans="1:25" ht="17.25" customHeight="1">
      <c r="A33" s="430" t="s">
        <v>180</v>
      </c>
      <c r="B33" s="176" t="s">
        <v>570</v>
      </c>
      <c r="C33" s="81"/>
      <c r="D33" s="793">
        <f>8127579-4730054.27</f>
        <v>3397524.7300000004</v>
      </c>
      <c r="F33" s="566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5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30" t="s">
        <v>182</v>
      </c>
      <c r="B35" s="515" t="s">
        <v>534</v>
      </c>
      <c r="C35" s="490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5"/>
      <c r="B36" s="23"/>
      <c r="C36" s="82"/>
      <c r="D36" s="82"/>
      <c r="F36"/>
      <c r="G36"/>
    </row>
    <row r="37" spans="1:25" ht="17.25" customHeight="1">
      <c r="A37" s="430" t="s">
        <v>153</v>
      </c>
      <c r="B37" s="24" t="s">
        <v>395</v>
      </c>
      <c r="C37" s="83"/>
      <c r="D37" s="752">
        <f>D33-D35</f>
        <v>3397524.7300000004</v>
      </c>
    </row>
    <row r="38" spans="1:25" ht="17.25" customHeight="1">
      <c r="A38" s="465"/>
      <c r="B38" s="23"/>
      <c r="C38" s="82"/>
      <c r="D38" s="82"/>
      <c r="F38" s="139"/>
    </row>
    <row r="39" spans="1:25" ht="17.25" customHeight="1">
      <c r="A39" s="430" t="s">
        <v>154</v>
      </c>
      <c r="B39" s="374" t="s">
        <v>631</v>
      </c>
      <c r="C39" s="472" t="s">
        <v>476</v>
      </c>
      <c r="D39" s="377">
        <v>0</v>
      </c>
      <c r="F39" s="42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5"/>
      <c r="B40" s="375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30" t="s">
        <v>156</v>
      </c>
      <c r="B42" s="376" t="s">
        <v>394</v>
      </c>
      <c r="C42" s="473" t="s">
        <v>475</v>
      </c>
      <c r="D42" s="377">
        <f>D37-D39</f>
        <v>3397524.7300000004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35"/>
      <c r="C43" s="835"/>
      <c r="D43" s="466"/>
    </row>
    <row r="44" spans="1:25" ht="17.25" customHeight="1">
      <c r="B44" s="368" t="s">
        <v>392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612</v>
      </c>
      <c r="C45" s="150"/>
      <c r="D45" s="150"/>
      <c r="E45"/>
      <c r="F45" s="427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2018-05-10T12:34:57Z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